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598" activeTab="0"/>
  </bookViews>
  <sheets>
    <sheet name="лютий" sheetId="1" r:id="rId1"/>
    <sheet name="січень-2" sheetId="2" r:id="rId2"/>
    <sheet name="січень 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<sst xmlns="http://schemas.openxmlformats.org/spreadsheetml/2006/main" count="543" uniqueCount="227">
  <si>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</si>
  <si>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</si>
  <si>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</si>
  <si>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</si>
  <si>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</si>
  <si>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</si>
  <si>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</si>
  <si>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</si>
  <si>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</si>
  <si>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</si>
  <si>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</si>
  <si>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</si>
  <si>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</si>
  <si>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</si>
  <si>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</si>
  <si>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</si>
  <si>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</si>
  <si>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</si>
  <si>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</si>
  <si>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</si>
  <si>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</si>
  <si>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</si>
  <si>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</si>
  <si>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</si>
  <si>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</si>
  <si>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</si>
  <si>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</si>
  <si>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</si>
  <si>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</si>
  <si>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</si>
  <si>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</si>
  <si>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</si>
  <si>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</si>
  <si>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</si>
  <si>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</si>
  <si>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</si>
  <si>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</si>
  <si>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</si>
  <si>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</si>
  <si>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</si>
  <si>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</si>
  <si>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</si>
  <si>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</si>
  <si>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</si>
  <si>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</si>
  <si>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</si>
  <si>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</si>
  <si>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</si>
  <si>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</si>
  <si>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</si>
  <si>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</si>
  <si>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</si>
  <si>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</si>
  <si>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</si>
  <si>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</si>
  <si>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</si>
  <si>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</si>
  <si>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</si>
  <si>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</si>
  <si>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</si>
  <si>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</si>
  <si>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</si>
  <si>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</si>
  <si>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</si>
  <si>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</si>
  <si>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</si>
  <si>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</si>
  <si>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</si>
  <si>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</si>
  <si>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</si>
  <si>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</si>
  <si>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</si>
  <si>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</si>
  <si>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</si>
  <si>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</si>
  <si>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</si>
  <si>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</si>
  <si>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</si>
  <si>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</si>
  <si>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</si>
  <si>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</si>
  <si>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</si>
  <si>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</si>
  <si>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</si>
  <si>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</si>
  <si>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</si>
  <si>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</si>
  <si>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</si>
  <si>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</si>
  <si>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</si>
  <si>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</si>
  <si>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</si>
  <si>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</si>
  <si>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</si>
  <si>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</si>
  <si>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</si>
  <si>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</si>
  <si>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</si>
  <si>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</si>
  <si>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</si>
  <si>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</si>
  <si>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</si>
  <si>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</si>
  <si>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</si>
  <si>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</si>
  <si>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</si>
  <si>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</si>
  <si>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</si>
  <si>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</si>
  <si>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</si>
  <si>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</si>
  <si>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</si>
  <si>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</si>
  <si>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</si>
  <si>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</si>
  <si>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</si>
  <si>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</si>
  <si>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</si>
  <si>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</si>
  <si>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</si>
  <si>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</si>
  <si>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</si>
  <si>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</si>
  <si>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</si>
  <si>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</si>
  <si>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</si>
  <si>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</si>
  <si>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</si>
  <si>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</si>
  <si>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</si>
  <si>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</si>
  <si>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</si>
  <si>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</si>
  <si>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</si>
  <si>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</si>
  <si>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</si>
  <si>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</si>
  <si>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</si>
  <si>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</si>
  <si>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</si>
  <si>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</si>
  <si>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</si>
  <si>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</si>
  <si>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</si>
  <si>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</si>
  <si>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</si>
  <si>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</si>
  <si>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</si>
  <si>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</si>
  <si>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</si>
  <si>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</si>
  <si>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</si>
  <si>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</si>
  <si>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</si>
  <si>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</si>
  <si>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</si>
  <si>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</si>
  <si>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</si>
  <si>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</si>
  <si>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</si>
  <si>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</si>
  <si>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</si>
  <si>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</si>
  <si>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</si>
  <si>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</si>
  <si>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</si>
  <si>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</si>
  <si>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</si>
  <si>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</si>
  <si>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</si>
  <si>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</si>
  <si>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</si>
  <si>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</si>
  <si>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</si>
  <si>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</si>
  <si>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</si>
  <si>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</si>
  <si>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</si>
  <si>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</si>
  <si>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</si>
  <si>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t>11</t>
  </si>
  <si>
    <t>12</t>
  </si>
  <si>
    <t>13</t>
  </si>
  <si>
    <t>14</t>
  </si>
  <si>
    <t>15</t>
  </si>
  <si>
    <t>16</t>
  </si>
  <si>
    <t>Відхилення (+,-) до  плану на І півріччя 2015року</t>
  </si>
  <si>
    <t xml:space="preserve">Тимчасовий план на січень  місяць  </t>
  </si>
  <si>
    <t>Динаміка  фактичних надходжень січень- 2014 та 2015 років</t>
  </si>
  <si>
    <t>% виконання  плану на І півріччя 2015 року</t>
  </si>
  <si>
    <t>Уточнений тимчасовий план на  І півріччя 2015 року</t>
  </si>
  <si>
    <t>очікувані взаєморозрахунки  2015</t>
  </si>
  <si>
    <t>всього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</si>
  <si>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</si>
  <si>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30.01.15 </t>
    </r>
    <r>
      <rPr>
        <b/>
        <sz val="10"/>
        <rFont val="Times New Roman"/>
        <family val="1"/>
      </rPr>
      <t>включно</t>
    </r>
  </si>
  <si>
    <t>реверс з початку року</t>
  </si>
  <si>
    <t>до Д/б</t>
  </si>
  <si>
    <t>до ЗФ М/б</t>
  </si>
  <si>
    <t>до ЗФ МБ</t>
  </si>
  <si>
    <t>План  на січень-лютий</t>
  </si>
  <si>
    <t>Необхідно ще отримати до плану на січень-лютий</t>
  </si>
  <si>
    <t>% виконання до плану на січень-лютий</t>
  </si>
  <si>
    <t>Виконано у лютому</t>
  </si>
  <si>
    <t>В умовах 2014 р.</t>
  </si>
  <si>
    <t>Акцизний податок з реалізації суб`єктами господарювання роздрібної торгівлі підакцизних товарів</t>
  </si>
  <si>
    <t>В умовах 2015 р.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</si>
  <si>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</si>
  <si>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</si>
  <si>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>Податок на майно</t>
  </si>
  <si>
    <t xml:space="preserve">податок на нерухоме майно </t>
  </si>
  <si>
    <t>транспортний податок</t>
  </si>
  <si>
    <t>плата за землю</t>
  </si>
  <si>
    <t>Туристичний збір</t>
  </si>
  <si>
    <t>Єдиний податок</t>
  </si>
  <si>
    <t>Плата за розміщення  тимчасово вільних коштів місцевих бюджетів</t>
  </si>
  <si>
    <t>Збір за провадження деяких видів підприємницької діяльності, що справлявся до 1 січня 2015 року</t>
  </si>
  <si>
    <t>Затверджений план на  2015 рік</t>
  </si>
  <si>
    <t>Відхилення (+,-) до  плану на 2015рік</t>
  </si>
  <si>
    <t>% виконання  плану на 2015 рік</t>
  </si>
  <si>
    <t>План  на січень-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</si>
  <si>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</si>
  <si>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</si>
  <si>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Плата за надання інших адміністративних послуг</t>
  </si>
  <si>
    <t>Податок та збір на доходи фізичних осіб</t>
  </si>
  <si>
    <r>
      <t>Динаміка  фактичних надходжень січень-лютий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</si>
  <si>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17.02.2015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</si>
  <si>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16.02.15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</si>
</sst>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39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0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174" fontId="7" fillId="4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22" fillId="4" borderId="1" xfId="0" applyNumberFormat="1" applyFont="1" applyFill="1" applyBorder="1" applyAlignment="1" applyProtection="1">
      <alignment horizontal="right"/>
      <protection locked="0"/>
    </xf>
    <xf numFmtId="174" fontId="7" fillId="4" borderId="1" xfId="20" applyNumberFormat="1" applyFont="1" applyFill="1" applyBorder="1" applyProtection="1">
      <alignment/>
      <protection/>
    </xf>
    <xf numFmtId="174" fontId="8" fillId="4" borderId="1" xfId="20" applyNumberFormat="1" applyFont="1" applyFill="1" applyBorder="1" applyProtection="1">
      <alignment/>
      <protection/>
    </xf>
    <xf numFmtId="174" fontId="27" fillId="4" borderId="1" xfId="0" applyNumberFormat="1" applyFont="1" applyFill="1" applyBorder="1" applyAlignment="1" applyProtection="1">
      <alignment horizontal="right"/>
      <protection/>
    </xf>
    <xf numFmtId="174" fontId="7" fillId="4" borderId="1" xfId="20" applyNumberFormat="1" applyFont="1" applyFill="1" applyBorder="1" applyProtection="1">
      <alignment/>
      <protection/>
    </xf>
    <xf numFmtId="174" fontId="3" fillId="0" borderId="0" xfId="20" applyNumberFormat="1" applyFont="1" applyFill="1" applyAlignment="1" applyProtection="1">
      <alignment horizontal="center"/>
      <protection/>
    </xf>
    <xf numFmtId="174" fontId="9" fillId="4" borderId="1" xfId="20" applyNumberFormat="1" applyFont="1" applyFill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/>
    </xf>
    <xf numFmtId="174" fontId="19" fillId="4" borderId="1" xfId="0" applyNumberFormat="1" applyFont="1" applyFill="1" applyBorder="1" applyAlignment="1" applyProtection="1">
      <alignment horizontal="right"/>
      <protection/>
    </xf>
    <xf numFmtId="174" fontId="13" fillId="4" borderId="1" xfId="0" applyNumberFormat="1" applyFont="1" applyFill="1" applyBorder="1" applyAlignment="1" applyProtection="1">
      <alignment horizontal="right" wrapText="1"/>
      <protection/>
    </xf>
    <xf numFmtId="174" fontId="13" fillId="4" borderId="1" xfId="0" applyNumberFormat="1" applyFont="1" applyFill="1" applyBorder="1" applyAlignment="1" applyProtection="1">
      <alignment horizontal="right" wrapText="1"/>
      <protection locked="0"/>
    </xf>
    <xf numFmtId="174" fontId="8" fillId="0" borderId="0" xfId="20" applyNumberFormat="1" applyFont="1" applyFill="1" applyProtection="1">
      <alignment/>
      <protection/>
    </xf>
    <xf numFmtId="174" fontId="8" fillId="0" borderId="5" xfId="20" applyNumberFormat="1" applyFont="1" applyFill="1" applyBorder="1" applyAlignment="1" applyProtection="1">
      <alignment horizontal="center"/>
      <protection/>
    </xf>
    <xf numFmtId="2" fontId="19" fillId="0" borderId="0" xfId="20" applyNumberFormat="1" applyFont="1" applyAlignment="1" applyProtection="1">
      <alignment wrapText="1"/>
      <protection/>
    </xf>
    <xf numFmtId="4" fontId="27" fillId="0" borderId="0" xfId="0" applyNumberFormat="1" applyFont="1" applyAlignment="1" applyProtection="1">
      <alignment/>
      <protection/>
    </xf>
    <xf numFmtId="174" fontId="27" fillId="0" borderId="1" xfId="20" applyNumberFormat="1" applyFont="1" applyBorder="1" applyProtection="1">
      <alignment/>
      <protection/>
    </xf>
    <xf numFmtId="0" fontId="18" fillId="5" borderId="1" xfId="0" applyFont="1" applyFill="1" applyBorder="1" applyAlignment="1" applyProtection="1">
      <alignment/>
      <protection/>
    </xf>
    <xf numFmtId="174" fontId="18" fillId="5" borderId="1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0" fontId="11" fillId="0" borderId="7" xfId="0" applyFont="1" applyFill="1" applyBorder="1" applyAlignment="1" applyProtection="1">
      <alignment/>
      <protection/>
    </xf>
    <xf numFmtId="0" fontId="8" fillId="0" borderId="7" xfId="0" applyFont="1" applyFill="1" applyBorder="1" applyAlignment="1" applyProtection="1">
      <alignment/>
      <protection/>
    </xf>
    <xf numFmtId="174" fontId="7" fillId="0" borderId="0" xfId="0" applyNumberFormat="1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174" fontId="8" fillId="5" borderId="1" xfId="20" applyNumberFormat="1" applyFont="1" applyFill="1" applyBorder="1" applyProtection="1">
      <alignment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8" fillId="4" borderId="1" xfId="0" applyNumberFormat="1" applyFont="1" applyFill="1" applyBorder="1" applyAlignment="1" applyProtection="1">
      <alignment horizontal="right"/>
      <protection/>
    </xf>
    <xf numFmtId="0" fontId="10" fillId="0" borderId="1" xfId="20" applyFont="1" applyBorder="1" applyAlignment="1" applyProtection="1">
      <alignment vertical="center"/>
      <protection/>
    </xf>
    <xf numFmtId="183" fontId="7" fillId="3" borderId="5" xfId="0" applyNumberFormat="1" applyFont="1" applyFill="1" applyBorder="1" applyAlignment="1" applyProtection="1">
      <alignment/>
      <protection/>
    </xf>
    <xf numFmtId="174" fontId="18" fillId="0" borderId="0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174" fontId="27" fillId="0" borderId="0" xfId="20" applyNumberFormat="1" applyFont="1" applyBorder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7" fillId="0" borderId="1" xfId="20" applyFont="1" applyBorder="1" applyAlignment="1" applyProtection="1">
      <alignment horizontal="left" vertical="center" wrapText="1"/>
      <protection/>
    </xf>
    <xf numFmtId="4" fontId="8" fillId="0" borderId="0" xfId="20" applyNumberFormat="1" applyFont="1" applyBorder="1" applyAlignment="1" applyProtection="1">
      <alignment horizontal="right"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6" borderId="1" xfId="0" applyNumberFormat="1" applyFont="1" applyFill="1" applyBorder="1" applyAlignment="1" applyProtection="1">
      <alignment/>
      <protection/>
    </xf>
    <xf numFmtId="174" fontId="22" fillId="6" borderId="1" xfId="0" applyNumberFormat="1" applyFont="1" applyFill="1" applyBorder="1" applyAlignment="1" applyProtection="1">
      <alignment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8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7" xfId="22" applyFont="1" applyFill="1" applyBorder="1" applyAlignment="1" applyProtection="1">
      <alignment horizontal="center" vertic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  <xf numFmtId="9" fontId="4" fillId="0" borderId="8" xfId="22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8" xfId="20" applyNumberFormat="1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29" fillId="0" borderId="11" xfId="20" applyFont="1" applyFill="1" applyBorder="1" applyAlignment="1" applyProtection="1">
      <alignment horizontal="center" vertical="center" wrapText="1"/>
      <protection/>
    </xf>
    <xf numFmtId="174" fontId="29" fillId="4" borderId="4" xfId="0" applyNumberFormat="1" applyFont="1" applyFill="1" applyBorder="1" applyAlignment="1" applyProtection="1">
      <alignment horizontal="center" vertical="center" wrapText="1"/>
      <protection/>
    </xf>
    <xf numFmtId="174" fontId="29" fillId="4" borderId="8" xfId="0" applyNumberFormat="1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8" xfId="20" applyNumberFormat="1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vertical="center" wrapText="1"/>
      <protection/>
    </xf>
    <xf numFmtId="174" fontId="4" fillId="0" borderId="8" xfId="22" applyNumberFormat="1" applyFont="1" applyFill="1" applyBorder="1" applyAlignment="1" applyProtection="1">
      <alignment horizontal="center" vertical="center" wrapText="1"/>
      <protection/>
    </xf>
    <xf numFmtId="0" fontId="4" fillId="0" borderId="4" xfId="20" applyFont="1" applyFill="1" applyBorder="1" applyAlignment="1" applyProtection="1">
      <alignment horizontal="center" vertical="center" wrapText="1"/>
      <protection/>
    </xf>
    <xf numFmtId="0" fontId="4" fillId="0" borderId="8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Border="1" applyAlignment="1" applyProtection="1">
      <alignment horizontal="center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right"/>
      <protection/>
    </xf>
    <xf numFmtId="0" fontId="10" fillId="0" borderId="0" xfId="20" applyFont="1" applyBorder="1" applyAlignment="1" applyProtection="1">
      <alignment horizontal="center" wrapText="1"/>
      <protection/>
    </xf>
    <xf numFmtId="0" fontId="8" fillId="0" borderId="1" xfId="20" applyFont="1" applyBorder="1" applyAlignment="1" applyProtection="1">
      <alignment horizontal="left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8" xfId="22" applyNumberFormat="1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8" xfId="20" applyFont="1" applyFill="1" applyBorder="1" applyAlignment="1" applyProtection="1">
      <alignment horizontal="center" wrapText="1"/>
      <protection/>
    </xf>
    <xf numFmtId="0" fontId="8" fillId="0" borderId="1" xfId="20" applyFont="1" applyBorder="1" applyAlignment="1" applyProtection="1">
      <alignment horizontal="center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8" xfId="22" applyFont="1" applyFill="1" applyBorder="1" applyAlignment="1" applyProtection="1">
      <alignment horizontal="center" wrapText="1"/>
      <protection/>
    </xf>
    <xf numFmtId="0" fontId="10" fillId="0" borderId="1" xfId="20" applyFont="1" applyBorder="1" applyAlignment="1" applyProtection="1">
      <alignment horizont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01"/>
      <sheetName val="депозит"/>
      <sheetName val="залишки  (2)"/>
      <sheetName val="надх"/>
      <sheetName val="лютий"/>
      <sheetName val="січень"/>
      <sheetName val="уточнення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для федоренко"/>
      <sheetName val="найбільші платники"/>
      <sheetName val="5011-02"/>
      <sheetName val="5011"/>
      <sheetName val="2111"/>
      <sheetName val="2105"/>
      <sheetName val="Лист1"/>
      <sheetName val="повернення по окремим платникам"/>
      <sheetName val="очік-12"/>
    </sheetNames>
    <sheetDataSet>
      <sheetData sheetId="17">
        <row r="27">
          <cell r="C2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V113"/>
  <sheetViews>
    <sheetView tabSelected="1"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I108" sqref="I108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181" t="s">
        <v>225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17"/>
      <c r="R1" s="118"/>
    </row>
    <row r="2" spans="2:18" s="1" customFormat="1" ht="15.75" customHeight="1">
      <c r="B2" s="182"/>
      <c r="C2" s="182"/>
      <c r="D2" s="182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183"/>
      <c r="B3" s="185" t="s">
        <v>205</v>
      </c>
      <c r="C3" s="186" t="s">
        <v>0</v>
      </c>
      <c r="D3" s="187" t="s">
        <v>216</v>
      </c>
      <c r="E3" s="40"/>
      <c r="F3" s="188" t="s">
        <v>107</v>
      </c>
      <c r="G3" s="189"/>
      <c r="H3" s="189"/>
      <c r="I3" s="189"/>
      <c r="J3" s="190"/>
      <c r="K3" s="114"/>
      <c r="L3" s="114"/>
      <c r="M3" s="191" t="s">
        <v>221</v>
      </c>
      <c r="N3" s="194" t="s">
        <v>202</v>
      </c>
      <c r="O3" s="194"/>
      <c r="P3" s="194"/>
      <c r="Q3" s="194"/>
      <c r="R3" s="194"/>
    </row>
    <row r="4" spans="1:18" ht="22.5" customHeight="1">
      <c r="A4" s="183"/>
      <c r="B4" s="185"/>
      <c r="C4" s="186"/>
      <c r="D4" s="187"/>
      <c r="E4" s="195" t="s">
        <v>199</v>
      </c>
      <c r="F4" s="199" t="s">
        <v>116</v>
      </c>
      <c r="G4" s="201" t="s">
        <v>200</v>
      </c>
      <c r="H4" s="203" t="s">
        <v>201</v>
      </c>
      <c r="I4" s="205" t="s">
        <v>217</v>
      </c>
      <c r="J4" s="192" t="s">
        <v>218</v>
      </c>
      <c r="K4" s="116" t="s">
        <v>172</v>
      </c>
      <c r="L4" s="121" t="s">
        <v>171</v>
      </c>
      <c r="M4" s="192"/>
      <c r="N4" s="211" t="s">
        <v>226</v>
      </c>
      <c r="O4" s="205" t="s">
        <v>136</v>
      </c>
      <c r="P4" s="213" t="s">
        <v>135</v>
      </c>
      <c r="Q4" s="122" t="s">
        <v>172</v>
      </c>
      <c r="R4" s="123" t="s">
        <v>171</v>
      </c>
    </row>
    <row r="5" spans="1:19" ht="92.25" customHeight="1">
      <c r="A5" s="184"/>
      <c r="B5" s="185"/>
      <c r="C5" s="186"/>
      <c r="D5" s="187"/>
      <c r="E5" s="196"/>
      <c r="F5" s="200"/>
      <c r="G5" s="202"/>
      <c r="H5" s="204"/>
      <c r="I5" s="206"/>
      <c r="J5" s="193"/>
      <c r="K5" s="197" t="s">
        <v>224</v>
      </c>
      <c r="L5" s="198"/>
      <c r="M5" s="193"/>
      <c r="N5" s="212"/>
      <c r="O5" s="206"/>
      <c r="P5" s="213"/>
      <c r="Q5" s="197" t="s">
        <v>176</v>
      </c>
      <c r="R5" s="198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79108</v>
      </c>
      <c r="F8" s="18">
        <f>F10+F19+F30+F33+F34+F42</f>
        <v>60398.34</v>
      </c>
      <c r="G8" s="18">
        <f aca="true" t="shared" si="0" ref="G8:G42">F8-E8</f>
        <v>-18709.660000000003</v>
      </c>
      <c r="H8" s="45">
        <f>F8/E8*100</f>
        <v>76.34921878950294</v>
      </c>
      <c r="I8" s="31">
        <f aca="true" t="shared" si="1" ref="I8:I42">F8-D8</f>
        <v>-457030.66000000003</v>
      </c>
      <c r="J8" s="31">
        <f aca="true" t="shared" si="2" ref="J8:J14">F8/D8*100</f>
        <v>11.672778294220077</v>
      </c>
      <c r="K8" s="18">
        <f>K10+K19+K30+K33+K34+K42</f>
        <v>-11936.951999999994</v>
      </c>
      <c r="L8" s="18"/>
      <c r="M8" s="18">
        <f>M10+M19+M30+M33+M34+M42</f>
        <v>44056.1</v>
      </c>
      <c r="N8" s="18">
        <f>N10+N19+N30+N33+N34+N42</f>
        <v>22684.023999999998</v>
      </c>
      <c r="O8" s="31">
        <f aca="true" t="shared" si="3" ref="O8:O45">N8-M8</f>
        <v>-21372.076</v>
      </c>
      <c r="P8" s="31">
        <f>F8/M8*100</f>
        <v>137.0941594921021</v>
      </c>
      <c r="Q8" s="31">
        <f>N8-33748.16</f>
        <v>-11064.136000000006</v>
      </c>
      <c r="R8" s="125">
        <f>N8/33748.16</f>
        <v>0.6721558745721247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37480.39</v>
      </c>
      <c r="G9" s="18">
        <f t="shared" si="0"/>
        <v>37480.39</v>
      </c>
      <c r="H9" s="16"/>
      <c r="I9" s="50">
        <f t="shared" si="1"/>
        <v>-275209.61</v>
      </c>
      <c r="J9" s="50">
        <f t="shared" si="2"/>
        <v>11.986437046275864</v>
      </c>
      <c r="K9" s="50"/>
      <c r="L9" s="50"/>
      <c r="M9" s="16">
        <f>M10+M17</f>
        <v>23924</v>
      </c>
      <c r="N9" s="16">
        <f>N10+N17</f>
        <v>14271.013999999996</v>
      </c>
      <c r="O9" s="31">
        <f t="shared" si="3"/>
        <v>-9652.986000000004</v>
      </c>
      <c r="P9" s="50">
        <f>F9/M9*100</f>
        <v>156.6643955860224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44929.4</v>
      </c>
      <c r="F10" s="143">
        <v>37480.39</v>
      </c>
      <c r="G10" s="43">
        <f t="shared" si="0"/>
        <v>-7449.010000000002</v>
      </c>
      <c r="H10" s="35">
        <f aca="true" t="shared" si="4" ref="H10:H42">F10/E10*100</f>
        <v>83.42063326018152</v>
      </c>
      <c r="I10" s="50">
        <f t="shared" si="1"/>
        <v>-275209.61</v>
      </c>
      <c r="J10" s="50">
        <f t="shared" si="2"/>
        <v>11.986437046275864</v>
      </c>
      <c r="K10" s="132">
        <f>F10-54745.99/75*60</f>
        <v>-6316.401999999995</v>
      </c>
      <c r="L10" s="132">
        <f>F10/(54745.99/75*60)*100</f>
        <v>85.57793456653174</v>
      </c>
      <c r="M10" s="35">
        <f>E10-'січень-2'!E10</f>
        <v>23924</v>
      </c>
      <c r="N10" s="35">
        <f>F10-'січень-2'!F10</f>
        <v>14271.013999999996</v>
      </c>
      <c r="O10" s="47">
        <f t="shared" si="3"/>
        <v>-9652.986000000004</v>
      </c>
      <c r="P10" s="50">
        <f aca="true" t="shared" si="5" ref="P10:P42">N10/M10*100</f>
        <v>59.65145460625312</v>
      </c>
      <c r="Q10" s="132">
        <f>N10-26568.11</f>
        <v>-12297.096000000005</v>
      </c>
      <c r="R10" s="133">
        <f>N10/26568.11</f>
        <v>0.5371482578173605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E11-'січень-2'!E11</f>
        <v>0</v>
      </c>
      <c r="N11" s="35">
        <f>F11-'січень-2'!F11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E12-'січень-2'!E12</f>
        <v>0</v>
      </c>
      <c r="N12" s="35">
        <f>F12-'січень-2'!F12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E13-'січень-2'!E13</f>
        <v>0</v>
      </c>
      <c r="N13" s="35">
        <f>F13-'січень-2'!F13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E14-'січень-2'!E14</f>
        <v>0</v>
      </c>
      <c r="N14" s="35">
        <f>F14-'січень-2'!F14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E15-'січень-2'!E15</f>
        <v>0</v>
      </c>
      <c r="N15" s="35">
        <f>F15-'січень-2'!F15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E16-'січень-2'!E16</f>
        <v>0</v>
      </c>
      <c r="N16" s="35">
        <f>F16-'січень-2'!F16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E17-'січень-2'!E17</f>
        <v>0</v>
      </c>
      <c r="N17" s="35">
        <f>F17-'січень-2'!F17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E18-'січень-2'!E18</f>
        <v>0</v>
      </c>
      <c r="N18" s="35">
        <f>F18-'січень-2'!F18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-566.21</v>
      </c>
      <c r="G19" s="43">
        <f t="shared" si="0"/>
        <v>-566.21</v>
      </c>
      <c r="H19" s="35"/>
      <c r="I19" s="50">
        <f t="shared" si="1"/>
        <v>-1066.21</v>
      </c>
      <c r="J19" s="50">
        <f aca="true" t="shared" si="6" ref="J19:J30">F19/D19*100</f>
        <v>-113.242</v>
      </c>
      <c r="K19" s="50">
        <f>F19-739.11</f>
        <v>-1305.3200000000002</v>
      </c>
      <c r="L19" s="50">
        <f>F19/739.11*100</f>
        <v>-76.60700031118508</v>
      </c>
      <c r="M19" s="35">
        <f>E19-'січень-2'!E19</f>
        <v>0</v>
      </c>
      <c r="N19" s="35">
        <f>F19-'січень-2'!F19</f>
        <v>0.12999999999999545</v>
      </c>
      <c r="O19" s="47">
        <f t="shared" si="3"/>
        <v>0.12999999999999545</v>
      </c>
      <c r="P19" s="50"/>
      <c r="Q19" s="50">
        <f>N19-358.81</f>
        <v>-358.68</v>
      </c>
      <c r="R19" s="126">
        <f>N19/358.81</f>
        <v>0.00036230874278864986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E20-'січень-2'!E20</f>
        <v>0</v>
      </c>
      <c r="N20" s="35">
        <f>F20-'січень-2'!F20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E21-'січень-2'!E21</f>
        <v>0</v>
      </c>
      <c r="N21" s="35">
        <f>F21-'січень-2'!F21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E22-'січень-2'!E22</f>
        <v>0</v>
      </c>
      <c r="N22" s="35">
        <f>F22-'січень-2'!F22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E23-'січень-2'!E23</f>
        <v>0</v>
      </c>
      <c r="N23" s="35">
        <f>F23-'січень-2'!F23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E24-'січень-2'!E24</f>
        <v>0</v>
      </c>
      <c r="N24" s="35">
        <f>F24-'січень-2'!F24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E25-'січень-2'!E25</f>
        <v>0</v>
      </c>
      <c r="N25" s="35">
        <f>F25-'січень-2'!F25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E26-'січень-2'!E26</f>
        <v>0</v>
      </c>
      <c r="N26" s="35">
        <f>F26-'січень-2'!F26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E27-'січень-2'!E27</f>
        <v>0</v>
      </c>
      <c r="N27" s="35">
        <f>F27-'січень-2'!F27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E28-'січень-2'!E28</f>
        <v>0</v>
      </c>
      <c r="N28" s="35">
        <f>F28-'січень-2'!F28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-438.35</v>
      </c>
      <c r="G29" s="135">
        <f t="shared" si="0"/>
        <v>-438.35</v>
      </c>
      <c r="H29" s="137"/>
      <c r="I29" s="136">
        <f t="shared" si="1"/>
        <v>-438.35</v>
      </c>
      <c r="J29" s="136"/>
      <c r="K29" s="136">
        <f>F29-717.64</f>
        <v>-1155.99</v>
      </c>
      <c r="L29" s="136">
        <f>F29/717.64*100</f>
        <v>-61.082158185162484</v>
      </c>
      <c r="M29" s="137">
        <f>E29-'січень-2'!E29</f>
        <v>0</v>
      </c>
      <c r="N29" s="137">
        <f>F29-'січень-2'!F29</f>
        <v>0</v>
      </c>
      <c r="O29" s="138">
        <f t="shared" si="3"/>
        <v>0</v>
      </c>
      <c r="P29" s="50"/>
      <c r="Q29" s="136">
        <f>N29-358.81</f>
        <v>-358.81</v>
      </c>
      <c r="R29" s="141">
        <f>N29/358.79</f>
        <v>0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15.92</v>
      </c>
      <c r="G30" s="43">
        <f t="shared" si="0"/>
        <v>2.92</v>
      </c>
      <c r="H30" s="35">
        <f t="shared" si="4"/>
        <v>122.46153846153847</v>
      </c>
      <c r="I30" s="50">
        <f t="shared" si="1"/>
        <v>-3.08</v>
      </c>
      <c r="J30" s="50">
        <f t="shared" si="6"/>
        <v>83.78947368421052</v>
      </c>
      <c r="K30" s="50">
        <f>F30-2.91</f>
        <v>13.01</v>
      </c>
      <c r="L30" s="136">
        <f>F30/2.91*100</f>
        <v>547.0790378006873</v>
      </c>
      <c r="M30" s="35">
        <f>E30-'січень-2'!E30</f>
        <v>13</v>
      </c>
      <c r="N30" s="35">
        <f>F30-'січень-2'!F30</f>
        <v>15.8</v>
      </c>
      <c r="O30" s="47">
        <f t="shared" si="3"/>
        <v>2.8000000000000007</v>
      </c>
      <c r="P30" s="50">
        <f t="shared" si="5"/>
        <v>121.53846153846155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E31-'січень-2'!E31</f>
        <v>0</v>
      </c>
      <c r="N31" s="35">
        <f>F31-'січень-2'!F31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E32-'січень-2'!E32</f>
        <v>0</v>
      </c>
      <c r="N32" s="35">
        <f>F32-'січень-2'!F32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2720</v>
      </c>
      <c r="F33" s="168">
        <v>21.84</v>
      </c>
      <c r="G33" s="43">
        <f t="shared" si="0"/>
        <v>-2698.16</v>
      </c>
      <c r="H33" s="35">
        <f t="shared" si="4"/>
        <v>0.8029411764705883</v>
      </c>
      <c r="I33" s="50">
        <f t="shared" si="1"/>
        <v>-29928.16</v>
      </c>
      <c r="J33" s="178">
        <f>F33/D33*100</f>
        <v>0.07292153589315527</v>
      </c>
      <c r="K33" s="179">
        <f>F33-0</f>
        <v>21.84</v>
      </c>
      <c r="L33" s="180"/>
      <c r="M33" s="35">
        <f>E33-'січень-2'!E33</f>
        <v>2720</v>
      </c>
      <c r="N33" s="35">
        <f>F33-'січень-2'!F33</f>
        <v>21.84</v>
      </c>
      <c r="O33" s="47">
        <f t="shared" si="3"/>
        <v>-2698.16</v>
      </c>
      <c r="P33" s="50">
        <f t="shared" si="5"/>
        <v>0.8029411764705883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29460.5</v>
      </c>
      <c r="F34" s="169">
        <f>F35+F39+F41+F40</f>
        <v>23418.090000000004</v>
      </c>
      <c r="G34" s="43">
        <f t="shared" si="0"/>
        <v>-6042.409999999996</v>
      </c>
      <c r="H34" s="35">
        <f t="shared" si="4"/>
        <v>79.48979141562432</v>
      </c>
      <c r="I34" s="50">
        <f t="shared" si="1"/>
        <v>-143351.91</v>
      </c>
      <c r="J34" s="178">
        <f aca="true" t="shared" si="11" ref="J34:J42">F34/D34*100</f>
        <v>14.042147868321642</v>
      </c>
      <c r="K34" s="178">
        <f>K35+K39+K40+K41</f>
        <v>-893.7499999999997</v>
      </c>
      <c r="L34" s="136"/>
      <c r="M34" s="35">
        <f>E34-'січень-2'!E34</f>
        <v>15424</v>
      </c>
      <c r="N34" s="35">
        <f>F34-'січень-2'!F34</f>
        <v>8355.820000000005</v>
      </c>
      <c r="O34" s="47">
        <f t="shared" si="3"/>
        <v>-7068.179999999995</v>
      </c>
      <c r="P34" s="50">
        <f t="shared" si="5"/>
        <v>54.174144190871395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13754.5</v>
      </c>
      <c r="F35" s="169">
        <f>F36+F37+F38</f>
        <v>7920.07</v>
      </c>
      <c r="G35" s="43">
        <f t="shared" si="0"/>
        <v>-5834.43</v>
      </c>
      <c r="H35" s="35">
        <f t="shared" si="4"/>
        <v>57.58166418263113</v>
      </c>
      <c r="I35" s="50">
        <f t="shared" si="1"/>
        <v>-90279.93</v>
      </c>
      <c r="J35" s="178">
        <f t="shared" si="11"/>
        <v>8.065244399185335</v>
      </c>
      <c r="K35" s="178">
        <f>K36+K37+K38</f>
        <v>1572.4699999999998</v>
      </c>
      <c r="L35" s="136"/>
      <c r="M35" s="35">
        <f>E35-'січень-2'!E35</f>
        <v>7220</v>
      </c>
      <c r="N35" s="35">
        <f>F35-'січень-2'!F35</f>
        <v>1337.3899999999994</v>
      </c>
      <c r="O35" s="47">
        <f t="shared" si="3"/>
        <v>-5882.610000000001</v>
      </c>
      <c r="P35" s="50">
        <f t="shared" si="5"/>
        <v>18.523407202216056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104.5</v>
      </c>
      <c r="F36" s="144">
        <v>133.03</v>
      </c>
      <c r="G36" s="135">
        <f t="shared" si="0"/>
        <v>28.53</v>
      </c>
      <c r="H36" s="137">
        <f t="shared" si="4"/>
        <v>127.30143540669856</v>
      </c>
      <c r="I36" s="136">
        <f t="shared" si="1"/>
        <v>-866.97</v>
      </c>
      <c r="J36" s="136">
        <f t="shared" si="11"/>
        <v>13.303</v>
      </c>
      <c r="K36" s="136">
        <f>F36-54.3</f>
        <v>78.73</v>
      </c>
      <c r="L36" s="136">
        <f>F36/54.3*100</f>
        <v>244.99079189686927</v>
      </c>
      <c r="M36" s="137">
        <f>E36-'січень-2'!E36</f>
        <v>20</v>
      </c>
      <c r="N36" s="137">
        <f>F36-'січень-2'!F36</f>
        <v>48.36</v>
      </c>
      <c r="O36" s="47">
        <f t="shared" si="3"/>
        <v>28.36</v>
      </c>
      <c r="P36" s="50">
        <f t="shared" si="5"/>
        <v>241.8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0</v>
      </c>
      <c r="G37" s="135">
        <f t="shared" si="0"/>
        <v>0</v>
      </c>
      <c r="H37" s="137"/>
      <c r="I37" s="136">
        <f t="shared" si="1"/>
        <v>-1500</v>
      </c>
      <c r="J37" s="136">
        <f t="shared" si="11"/>
        <v>0</v>
      </c>
      <c r="K37" s="136">
        <f>F37-0</f>
        <v>0</v>
      </c>
      <c r="L37" s="136"/>
      <c r="M37" s="137">
        <f>E37-'січень-2'!E37</f>
        <v>0</v>
      </c>
      <c r="N37" s="137">
        <f>F37-'січень-2'!F37</f>
        <v>0</v>
      </c>
      <c r="O37" s="47">
        <f t="shared" si="3"/>
        <v>0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13650</v>
      </c>
      <c r="F38" s="144">
        <v>7787.04</v>
      </c>
      <c r="G38" s="135">
        <f t="shared" si="0"/>
        <v>-5862.96</v>
      </c>
      <c r="H38" s="137">
        <f t="shared" si="4"/>
        <v>57.04791208791209</v>
      </c>
      <c r="I38" s="136">
        <f t="shared" si="1"/>
        <v>-87912.96</v>
      </c>
      <c r="J38" s="136">
        <f t="shared" si="11"/>
        <v>8.13692789968652</v>
      </c>
      <c r="K38" s="139">
        <f>F38-6293.3</f>
        <v>1493.7399999999998</v>
      </c>
      <c r="L38" s="139">
        <f>F38/6293.3*100</f>
        <v>123.73540114089587</v>
      </c>
      <c r="M38" s="137">
        <f>E38-'січень-2'!E38</f>
        <v>7200</v>
      </c>
      <c r="N38" s="137">
        <f>F38-'січень-2'!F38</f>
        <v>1289.0299999999997</v>
      </c>
      <c r="O38" s="47">
        <f t="shared" si="3"/>
        <v>-5910.97</v>
      </c>
      <c r="P38" s="50">
        <f t="shared" si="5"/>
        <v>17.90319444444444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6</v>
      </c>
      <c r="F39" s="168">
        <v>12.34</v>
      </c>
      <c r="G39" s="43">
        <f t="shared" si="0"/>
        <v>6.34</v>
      </c>
      <c r="H39" s="35">
        <f t="shared" si="4"/>
        <v>205.66666666666666</v>
      </c>
      <c r="I39" s="50">
        <f t="shared" si="1"/>
        <v>-57.66</v>
      </c>
      <c r="J39" s="178">
        <f t="shared" si="11"/>
        <v>17.62857142857143</v>
      </c>
      <c r="K39" s="178">
        <f>F39-15.44</f>
        <v>-3.0999999999999996</v>
      </c>
      <c r="L39" s="178">
        <f>F39/15.44*100</f>
        <v>79.92227979274612</v>
      </c>
      <c r="M39" s="35">
        <f>E39-'січень-2'!E39</f>
        <v>4</v>
      </c>
      <c r="N39" s="35">
        <f>F39-'січень-2'!F39</f>
        <v>9.94</v>
      </c>
      <c r="O39" s="47">
        <f t="shared" si="3"/>
        <v>5.9399999999999995</v>
      </c>
      <c r="P39" s="50">
        <f t="shared" si="5"/>
        <v>248.5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147.15</v>
      </c>
      <c r="G40" s="43">
        <f t="shared" si="0"/>
        <v>147.15</v>
      </c>
      <c r="H40" s="35"/>
      <c r="I40" s="50">
        <f t="shared" si="1"/>
        <v>147.15</v>
      </c>
      <c r="J40" s="136"/>
      <c r="K40" s="178">
        <f>F40-1067.46</f>
        <v>-920.3100000000001</v>
      </c>
      <c r="L40" s="178">
        <f>F40/1067.46*100</f>
        <v>13.785059861727841</v>
      </c>
      <c r="M40" s="35">
        <f>E40-'січень-2'!E40</f>
        <v>0</v>
      </c>
      <c r="N40" s="35">
        <f>F40-'січень-2'!F40</f>
        <v>4.439999999999998</v>
      </c>
      <c r="O40" s="47">
        <f t="shared" si="3"/>
        <v>4.439999999999998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15700</v>
      </c>
      <c r="F41" s="168">
        <v>15338.53</v>
      </c>
      <c r="G41" s="43">
        <f t="shared" si="0"/>
        <v>-361.46999999999935</v>
      </c>
      <c r="H41" s="35">
        <f t="shared" si="4"/>
        <v>97.69764331210192</v>
      </c>
      <c r="I41" s="50">
        <f t="shared" si="1"/>
        <v>-53161.47</v>
      </c>
      <c r="J41" s="178">
        <f t="shared" si="11"/>
        <v>22.392014598540147</v>
      </c>
      <c r="K41" s="132">
        <f>F41-16881.34</f>
        <v>-1542.8099999999995</v>
      </c>
      <c r="L41" s="132">
        <f>F41/16881.34*100</f>
        <v>90.86085583253463</v>
      </c>
      <c r="M41" s="35">
        <f>E41-'січень-2'!E41</f>
        <v>8200</v>
      </c>
      <c r="N41" s="35">
        <f>F41-'січень-2'!F41</f>
        <v>7004.050000000001</v>
      </c>
      <c r="O41" s="47">
        <f t="shared" si="3"/>
        <v>-1195.949999999999</v>
      </c>
      <c r="P41" s="50">
        <f t="shared" si="5"/>
        <v>85.41524390243904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1985.1</v>
      </c>
      <c r="F42" s="168">
        <v>28.31</v>
      </c>
      <c r="G42" s="43">
        <f t="shared" si="0"/>
        <v>-1956.79</v>
      </c>
      <c r="H42" s="35">
        <f t="shared" si="4"/>
        <v>1.4261246284821922</v>
      </c>
      <c r="I42" s="50">
        <f t="shared" si="1"/>
        <v>-7471.69</v>
      </c>
      <c r="J42" s="136">
        <f t="shared" si="11"/>
        <v>0.3774666666666667</v>
      </c>
      <c r="K42" s="178">
        <f>F42-3484.64</f>
        <v>-3456.33</v>
      </c>
      <c r="L42" s="178">
        <f>F42/3484.64*100</f>
        <v>0.8124225171036319</v>
      </c>
      <c r="M42" s="35">
        <f>E42-'січень-2'!E42</f>
        <v>1975.1</v>
      </c>
      <c r="N42" s="35">
        <f>F42-'січень-2'!F42</f>
        <v>19.419999999999998</v>
      </c>
      <c r="O42" s="47">
        <f t="shared" si="3"/>
        <v>-1955.6799999999998</v>
      </c>
      <c r="P42" s="50">
        <f t="shared" si="5"/>
        <v>0.9832413548681079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D51+D60+D61+D62+D63+D70+D71+D72+D74+D78+D69</f>
        <v>12567.1</v>
      </c>
      <c r="E48" s="18">
        <f>E51+E60+E61+E62+E63+E70+E71+E72+E74+E78+E69</f>
        <v>2080.5</v>
      </c>
      <c r="F48" s="18">
        <f>F51+F60+F61+F62+F63+F70+F71+F72+F74+F78+F69</f>
        <v>3684.04</v>
      </c>
      <c r="G48" s="44">
        <f aca="true" t="shared" si="12" ref="G48:G80">F48-E48</f>
        <v>1603.54</v>
      </c>
      <c r="H48" s="45">
        <f aca="true" t="shared" si="13" ref="H48:H59">F48/E48*100</f>
        <v>177.07474164864215</v>
      </c>
      <c r="I48" s="31">
        <f aca="true" t="shared" si="14" ref="I48:I80">F48-D48</f>
        <v>-8883.060000000001</v>
      </c>
      <c r="J48" s="31">
        <f aca="true" t="shared" si="15" ref="J48:J66">F48/D48*100</f>
        <v>29.314957309164402</v>
      </c>
      <c r="K48" s="18">
        <f>K51+K60+K61+K62+K63+K70+K71+K72+K74+K78+K69</f>
        <v>1563.65</v>
      </c>
      <c r="L48" s="18"/>
      <c r="M48" s="18">
        <f>M51+M60+M61+M62+M63+M70+M71+M72+M74+M78+M69</f>
        <v>1040.5</v>
      </c>
      <c r="N48" s="18">
        <f>N51+N60+N61+N62+N63+N70+N71+N72+N74+N78+N69</f>
        <v>2661.66</v>
      </c>
      <c r="O48" s="49">
        <f aca="true" t="shared" si="16" ref="O48:O80">N48-M48</f>
        <v>1621.1599999999999</v>
      </c>
      <c r="P48" s="31">
        <f>N48/M48*100</f>
        <v>255.805862566074</v>
      </c>
      <c r="Q48" s="31">
        <f>N48-1017.63</f>
        <v>1644.0299999999997</v>
      </c>
      <c r="R48" s="127">
        <f>N48/1017.63</f>
        <v>2.6155478906871847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25</v>
      </c>
      <c r="F51" s="143">
        <v>0</v>
      </c>
      <c r="G51" s="43">
        <f t="shared" si="12"/>
        <v>-25</v>
      </c>
      <c r="H51" s="35">
        <f t="shared" si="13"/>
        <v>0</v>
      </c>
      <c r="I51" s="50">
        <f t="shared" si="14"/>
        <v>-200</v>
      </c>
      <c r="J51" s="50">
        <f t="shared" si="15"/>
        <v>0</v>
      </c>
      <c r="K51" s="50">
        <f>F51-15.87</f>
        <v>-15.87</v>
      </c>
      <c r="L51" s="50">
        <f>F51/15.87*100</f>
        <v>0</v>
      </c>
      <c r="M51" s="35">
        <f>E51-'січень-2'!E51</f>
        <v>20</v>
      </c>
      <c r="N51" s="35">
        <f>F51-'січень-2'!F51</f>
        <v>0</v>
      </c>
      <c r="O51" s="47">
        <f t="shared" si="16"/>
        <v>-20</v>
      </c>
      <c r="P51" s="50">
        <f aca="true" t="shared" si="17" ref="P51:P59">N51/M51*100</f>
        <v>0</v>
      </c>
      <c r="Q51" s="50">
        <f>N51-0</f>
        <v>0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E52-'січень-2'!E52</f>
        <v>0</v>
      </c>
      <c r="N52" s="35">
        <f>F52-'січень-2'!F52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E53-'січень-2'!E53</f>
        <v>0</v>
      </c>
      <c r="N53" s="35">
        <f>F53-'січень-2'!F53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E54-'січень-2'!E54</f>
        <v>0</v>
      </c>
      <c r="N54" s="35">
        <f>F54-'січень-2'!F54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E55-'січень-2'!E55</f>
        <v>0</v>
      </c>
      <c r="N55" s="35">
        <f>F55-'січень-2'!F55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E56-'січень-2'!E56</f>
        <v>0</v>
      </c>
      <c r="N56" s="35">
        <f>F56-'січень-2'!F56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E57-'січень-2'!E57</f>
        <v>0</v>
      </c>
      <c r="N57" s="35">
        <f>F57-'січень-2'!F57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E58-'січень-2'!E58</f>
        <v>0</v>
      </c>
      <c r="N58" s="35">
        <f>F58-'січень-2'!F58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E59-'січень-2'!E59</f>
        <v>0</v>
      </c>
      <c r="N59" s="35">
        <f>F59-'січень-2'!F59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E60-'січень-2'!E60</f>
        <v>0</v>
      </c>
      <c r="N60" s="35">
        <f>F60-'січень-2'!F60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1.67</v>
      </c>
      <c r="G61" s="43">
        <f t="shared" si="12"/>
        <v>1.67</v>
      </c>
      <c r="H61" s="35"/>
      <c r="I61" s="50">
        <f t="shared" si="14"/>
        <v>1.67</v>
      </c>
      <c r="J61" s="50"/>
      <c r="K61" s="50">
        <f>F61-97.38</f>
        <v>-95.71</v>
      </c>
      <c r="L61" s="50">
        <f>F61/97.38*100</f>
        <v>1.7149311973711234</v>
      </c>
      <c r="M61" s="35">
        <f>E61-'січень-2'!E61</f>
        <v>0</v>
      </c>
      <c r="N61" s="35">
        <f>F61-'січень-2'!F61</f>
        <v>0</v>
      </c>
      <c r="O61" s="47">
        <f t="shared" si="16"/>
        <v>0</v>
      </c>
      <c r="P61" s="50"/>
      <c r="Q61" s="50">
        <f>N61-4.23</f>
        <v>-4.23</v>
      </c>
      <c r="R61" s="126">
        <f>N61/4.23</f>
        <v>0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0.5</v>
      </c>
      <c r="F62" s="143">
        <v>0</v>
      </c>
      <c r="G62" s="43">
        <f t="shared" si="12"/>
        <v>-0.5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E62-'січень-2'!E62</f>
        <v>0.5</v>
      </c>
      <c r="N62" s="35">
        <f>F62-'січень-2'!F62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16</v>
      </c>
      <c r="F63" s="143">
        <v>14.01</v>
      </c>
      <c r="G63" s="43">
        <f t="shared" si="12"/>
        <v>-1.9900000000000002</v>
      </c>
      <c r="H63" s="35">
        <f>F63/E63*100</f>
        <v>87.5625</v>
      </c>
      <c r="I63" s="50">
        <f t="shared" si="14"/>
        <v>-125.99</v>
      </c>
      <c r="J63" s="50">
        <v>10</v>
      </c>
      <c r="K63" s="50">
        <f>F63-19.41</f>
        <v>-5.4</v>
      </c>
      <c r="L63" s="50">
        <f>F63/19.41*100</f>
        <v>72.17928902627511</v>
      </c>
      <c r="M63" s="35">
        <f>E63-'січень-2'!E63</f>
        <v>10</v>
      </c>
      <c r="N63" s="35">
        <f>F63-'січень-2'!F63</f>
        <v>6.41</v>
      </c>
      <c r="O63" s="47">
        <f t="shared" si="16"/>
        <v>-3.59</v>
      </c>
      <c r="P63" s="50">
        <f>N63/M63*100</f>
        <v>64.1</v>
      </c>
      <c r="Q63" s="50">
        <f>N63-9.02</f>
        <v>-2.6099999999999994</v>
      </c>
      <c r="R63" s="126">
        <f>N63/9.02</f>
        <v>0.7106430155210643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>F64-19.41</f>
        <v>-19.41</v>
      </c>
      <c r="L64" s="50">
        <f>F64</f>
        <v>0</v>
      </c>
      <c r="M64" s="35">
        <f>E64-'січень-2'!E64</f>
        <v>0</v>
      </c>
      <c r="N64" s="35">
        <f>F64-'січень-2'!F64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>F65-19.41</f>
        <v>-19.41</v>
      </c>
      <c r="L65" s="50">
        <f>F65</f>
        <v>0</v>
      </c>
      <c r="M65" s="35">
        <f>E65-'січень-2'!E65</f>
        <v>0</v>
      </c>
      <c r="N65" s="35">
        <f>F65-'січень-2'!F65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>F66-19.41</f>
        <v>-19.41</v>
      </c>
      <c r="L66" s="50">
        <f>F66</f>
        <v>0</v>
      </c>
      <c r="M66" s="35">
        <f>E66-'січень-2'!E66</f>
        <v>0</v>
      </c>
      <c r="N66" s="35">
        <f>F66-'січень-2'!F66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>F67-19.41</f>
        <v>-19.41</v>
      </c>
      <c r="L67" s="50">
        <f>F67</f>
        <v>0</v>
      </c>
      <c r="M67" s="35">
        <f>E67-'січень-2'!E67</f>
        <v>0</v>
      </c>
      <c r="N67" s="35">
        <f>F67-'січень-2'!F67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>F68-19.41</f>
        <v>-19.41</v>
      </c>
      <c r="L68" s="50">
        <f>F68</f>
        <v>0</v>
      </c>
      <c r="M68" s="35">
        <f>E68-'січень-2'!E68</f>
        <v>0</v>
      </c>
      <c r="N68" s="35">
        <f>F68-'січень-2'!F68</f>
        <v>0</v>
      </c>
      <c r="O68" s="47">
        <f t="shared" si="16"/>
        <v>0</v>
      </c>
      <c r="P68" s="50"/>
      <c r="Q68" s="50"/>
      <c r="R68" s="126"/>
    </row>
    <row r="69" spans="1:18" s="6" customFormat="1" ht="15.75">
      <c r="A69" s="8"/>
      <c r="B69" s="41" t="s">
        <v>222</v>
      </c>
      <c r="C69" s="95">
        <v>22012500</v>
      </c>
      <c r="D69" s="36">
        <v>0</v>
      </c>
      <c r="E69" s="36">
        <v>0</v>
      </c>
      <c r="F69" s="143">
        <v>752.71</v>
      </c>
      <c r="G69" s="43">
        <f t="shared" si="12"/>
        <v>752.71</v>
      </c>
      <c r="H69" s="35"/>
      <c r="I69" s="50">
        <f t="shared" si="14"/>
        <v>752.71</v>
      </c>
      <c r="J69" s="50"/>
      <c r="K69" s="50">
        <f>F69-0</f>
        <v>752.71</v>
      </c>
      <c r="L69" s="50"/>
      <c r="M69" s="35">
        <f>E690</f>
        <v>0</v>
      </c>
      <c r="N69" s="35">
        <f>F69-0</f>
        <v>752.71</v>
      </c>
      <c r="O69" s="47"/>
      <c r="P69" s="50"/>
      <c r="Q69" s="50"/>
      <c r="R69" s="126"/>
    </row>
    <row r="70" spans="1:18" s="6" customFormat="1" ht="31.5">
      <c r="A70" s="8"/>
      <c r="B70" s="15" t="s">
        <v>78</v>
      </c>
      <c r="C70" s="67">
        <v>22080401</v>
      </c>
      <c r="D70" s="36">
        <v>6900</v>
      </c>
      <c r="E70" s="36">
        <v>1240</v>
      </c>
      <c r="F70" s="143">
        <v>1319.17</v>
      </c>
      <c r="G70" s="43">
        <f t="shared" si="12"/>
        <v>79.17000000000007</v>
      </c>
      <c r="H70" s="35">
        <f>F70/E70*100</f>
        <v>106.38467741935484</v>
      </c>
      <c r="I70" s="50">
        <f t="shared" si="14"/>
        <v>-5580.83</v>
      </c>
      <c r="J70" s="50">
        <v>550</v>
      </c>
      <c r="K70" s="50">
        <f>F70-1189.92</f>
        <v>129.25</v>
      </c>
      <c r="L70" s="50">
        <f>F70/1189.92*100</f>
        <v>110.8620747613285</v>
      </c>
      <c r="M70" s="35">
        <f>E70-'січень-2'!E69</f>
        <v>550</v>
      </c>
      <c r="N70" s="35">
        <f>F70-'січень-2'!F69</f>
        <v>628.47</v>
      </c>
      <c r="O70" s="47">
        <f t="shared" si="16"/>
        <v>78.47000000000003</v>
      </c>
      <c r="P70" s="50">
        <f>N70/M70*100</f>
        <v>114.26727272727273</v>
      </c>
      <c r="Q70" s="50">
        <f>N70-647.49</f>
        <v>-19.019999999999982</v>
      </c>
      <c r="R70" s="126">
        <f>N70/647.49</f>
        <v>0.9706250289579762</v>
      </c>
    </row>
    <row r="71" spans="1:18" s="6" customFormat="1" ht="15.75">
      <c r="A71" s="8"/>
      <c r="B71" s="15" t="s">
        <v>80</v>
      </c>
      <c r="C71" s="59">
        <v>22090000</v>
      </c>
      <c r="D71" s="36">
        <v>1100</v>
      </c>
      <c r="E71" s="36">
        <v>149</v>
      </c>
      <c r="F71" s="143">
        <v>1069.84</v>
      </c>
      <c r="G71" s="43">
        <f t="shared" si="12"/>
        <v>920.8399999999999</v>
      </c>
      <c r="H71" s="35">
        <f>F71/E71*100</f>
        <v>718.0134228187919</v>
      </c>
      <c r="I71" s="50">
        <f t="shared" si="14"/>
        <v>-30.160000000000082</v>
      </c>
      <c r="J71" s="50">
        <v>90</v>
      </c>
      <c r="K71" s="50">
        <f>F71-126.54</f>
        <v>943.3</v>
      </c>
      <c r="L71" s="50">
        <f>F71/126.54*100</f>
        <v>845.4559822980874</v>
      </c>
      <c r="M71" s="35">
        <f>E71-'січень-2'!E70</f>
        <v>90</v>
      </c>
      <c r="N71" s="35">
        <f>F71-'січень-2'!F70</f>
        <v>1010.6299999999999</v>
      </c>
      <c r="O71" s="47">
        <f t="shared" si="16"/>
        <v>920.6299999999999</v>
      </c>
      <c r="P71" s="50">
        <f>N71/M71*100</f>
        <v>1122.9222222222222</v>
      </c>
      <c r="Q71" s="50">
        <f>N71-79.51</f>
        <v>931.1199999999999</v>
      </c>
      <c r="R71" s="126">
        <f>N71/79.51</f>
        <v>12.710728210288012</v>
      </c>
    </row>
    <row r="72" spans="1:18" s="6" customFormat="1" ht="47.25">
      <c r="A72" s="8"/>
      <c r="B72" s="15" t="s">
        <v>96</v>
      </c>
      <c r="C72" s="13" t="s">
        <v>97</v>
      </c>
      <c r="D72" s="36">
        <v>7.6</v>
      </c>
      <c r="E72" s="36">
        <v>0</v>
      </c>
      <c r="F72" s="143">
        <v>0</v>
      </c>
      <c r="G72" s="43">
        <f t="shared" si="12"/>
        <v>0</v>
      </c>
      <c r="H72" s="35"/>
      <c r="I72" s="50">
        <f t="shared" si="14"/>
        <v>-7.6</v>
      </c>
      <c r="J72" s="50"/>
      <c r="K72" s="50">
        <f>F72-0</f>
        <v>0</v>
      </c>
      <c r="L72" s="50"/>
      <c r="M72" s="35">
        <f>E72-'січень '!M97</f>
        <v>0</v>
      </c>
      <c r="N72" s="35">
        <f>F72-'січень-2'!F71</f>
        <v>0</v>
      </c>
      <c r="O72" s="47">
        <f t="shared" si="16"/>
        <v>0</v>
      </c>
      <c r="P72" s="50"/>
      <c r="Q72" s="50">
        <f>N72-0</f>
        <v>0</v>
      </c>
      <c r="R72" s="126"/>
    </row>
    <row r="73" spans="1:18" s="6" customFormat="1" ht="15.75" hidden="1">
      <c r="A73" s="8"/>
      <c r="B73" s="12" t="s">
        <v>73</v>
      </c>
      <c r="C73" s="59" t="s">
        <v>98</v>
      </c>
      <c r="D73" s="36">
        <v>0</v>
      </c>
      <c r="E73" s="36">
        <v>0</v>
      </c>
      <c r="F73" s="143">
        <v>0</v>
      </c>
      <c r="G73" s="43">
        <f t="shared" si="12"/>
        <v>0</v>
      </c>
      <c r="H73" s="35" t="e">
        <f>F73/E73*100</f>
        <v>#DIV/0!</v>
      </c>
      <c r="I73" s="50">
        <f t="shared" si="14"/>
        <v>0</v>
      </c>
      <c r="J73" s="50" t="e">
        <f>F73/D73*100</f>
        <v>#DIV/0!</v>
      </c>
      <c r="K73" s="50"/>
      <c r="L73" s="50">
        <f>F73</f>
        <v>0</v>
      </c>
      <c r="M73" s="35">
        <f>E73-'січень '!M98</f>
        <v>0</v>
      </c>
      <c r="N73" s="35">
        <f>F73-'січень-2'!F72</f>
        <v>0</v>
      </c>
      <c r="O73" s="47">
        <f t="shared" si="16"/>
        <v>0</v>
      </c>
      <c r="P73" s="50" t="e">
        <f aca="true" t="shared" si="20" ref="P73:P79">N73/M73*100</f>
        <v>#DIV/0!</v>
      </c>
      <c r="Q73" s="50"/>
      <c r="R73" s="126"/>
    </row>
    <row r="74" spans="1:18" s="6" customFormat="1" ht="15.75" customHeight="1">
      <c r="A74" s="8"/>
      <c r="B74" s="14" t="s">
        <v>73</v>
      </c>
      <c r="C74" s="13" t="s">
        <v>99</v>
      </c>
      <c r="D74" s="36">
        <v>4200</v>
      </c>
      <c r="E74" s="36">
        <v>650</v>
      </c>
      <c r="F74" s="143">
        <v>526.64</v>
      </c>
      <c r="G74" s="43">
        <f t="shared" si="12"/>
        <v>-123.36000000000001</v>
      </c>
      <c r="H74" s="35">
        <f>F74/E74*100</f>
        <v>81.02153846153846</v>
      </c>
      <c r="I74" s="50">
        <f t="shared" si="14"/>
        <v>-3673.36</v>
      </c>
      <c r="J74" s="50">
        <f>F74/D74*100</f>
        <v>12.539047619047619</v>
      </c>
      <c r="K74" s="50">
        <f>F74-652</f>
        <v>-125.36000000000001</v>
      </c>
      <c r="L74" s="50">
        <f>F74/652*100</f>
        <v>80.77300613496932</v>
      </c>
      <c r="M74" s="35">
        <f>E74-'січень-2'!M73</f>
        <v>370</v>
      </c>
      <c r="N74" s="35">
        <f>F74-'січень-2'!F73</f>
        <v>263.44</v>
      </c>
      <c r="O74" s="47">
        <f t="shared" si="16"/>
        <v>-106.56</v>
      </c>
      <c r="P74" s="50">
        <f t="shared" si="20"/>
        <v>71.2</v>
      </c>
      <c r="Q74" s="50">
        <f>N74-277.38</f>
        <v>-13.939999999999998</v>
      </c>
      <c r="R74" s="126">
        <f>N74/277.38</f>
        <v>0.9497440334559089</v>
      </c>
    </row>
    <row r="75" spans="1:18" s="6" customFormat="1" ht="31.5" customHeight="1" hidden="1">
      <c r="A75" s="8"/>
      <c r="B75" s="14" t="s">
        <v>100</v>
      </c>
      <c r="C75" s="83" t="s">
        <v>101</v>
      </c>
      <c r="D75" s="36">
        <v>0</v>
      </c>
      <c r="E75" s="36">
        <v>0</v>
      </c>
      <c r="F75" s="143">
        <v>0</v>
      </c>
      <c r="G75" s="43">
        <f t="shared" si="12"/>
        <v>0</v>
      </c>
      <c r="H75" s="35" t="e">
        <f>F75/E75*100</f>
        <v>#DIV/0!</v>
      </c>
      <c r="I75" s="50">
        <f t="shared" si="14"/>
        <v>0</v>
      </c>
      <c r="J75" s="50" t="e">
        <f>F75/D75*100</f>
        <v>#DIV/0!</v>
      </c>
      <c r="K75" s="50"/>
      <c r="L75" s="50">
        <f>F75</f>
        <v>0</v>
      </c>
      <c r="M75" s="35">
        <f>E75-'січень-2'!M74</f>
        <v>0</v>
      </c>
      <c r="N75" s="35">
        <f>F75-'січень-2'!F74</f>
        <v>0</v>
      </c>
      <c r="O75" s="47">
        <f t="shared" si="16"/>
        <v>0</v>
      </c>
      <c r="P75" s="50" t="e">
        <f t="shared" si="20"/>
        <v>#DIV/0!</v>
      </c>
      <c r="Q75" s="50"/>
      <c r="R75" s="126">
        <f>N75/277.38</f>
        <v>0</v>
      </c>
    </row>
    <row r="76" spans="1:18" s="6" customFormat="1" ht="15.75" hidden="1">
      <c r="A76" s="8"/>
      <c r="B76" s="14" t="s">
        <v>102</v>
      </c>
      <c r="C76" s="83" t="s">
        <v>103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E76-'січень-2'!M75</f>
        <v>0</v>
      </c>
      <c r="N76" s="35">
        <f>F76-'січень-2'!F75</f>
        <v>0</v>
      </c>
      <c r="O76" s="47">
        <f t="shared" si="16"/>
        <v>0</v>
      </c>
      <c r="P76" s="50" t="e">
        <f t="shared" si="20"/>
        <v>#DIV/0!</v>
      </c>
      <c r="Q76" s="50"/>
      <c r="R76" s="126">
        <f>N76/277.38</f>
        <v>0</v>
      </c>
    </row>
    <row r="77" spans="1:18" s="6" customFormat="1" ht="31.5">
      <c r="A77" s="8"/>
      <c r="B77" s="69" t="s">
        <v>127</v>
      </c>
      <c r="C77" s="83"/>
      <c r="D77" s="135"/>
      <c r="E77" s="135"/>
      <c r="F77" s="144">
        <v>125.4</v>
      </c>
      <c r="G77" s="135">
        <f t="shared" si="12"/>
        <v>125.4</v>
      </c>
      <c r="H77" s="137"/>
      <c r="I77" s="136">
        <f t="shared" si="14"/>
        <v>125.4</v>
      </c>
      <c r="J77" s="136"/>
      <c r="K77" s="136">
        <f>F77-130.1</f>
        <v>-4.699999999999989</v>
      </c>
      <c r="L77" s="138">
        <f>F77/130.1*100</f>
        <v>96.38739431206766</v>
      </c>
      <c r="M77" s="137">
        <f>E77-'січень-2'!M76</f>
        <v>0</v>
      </c>
      <c r="N77" s="137">
        <f>F77-'січень-2'!F76</f>
        <v>43.5</v>
      </c>
      <c r="O77" s="138">
        <f t="shared" si="16"/>
        <v>43.5</v>
      </c>
      <c r="P77" s="136"/>
      <c r="Q77" s="50">
        <f>N77-64.93</f>
        <v>-21.430000000000007</v>
      </c>
      <c r="R77" s="126">
        <f>N77/64.93</f>
        <v>0.6699522562759894</v>
      </c>
    </row>
    <row r="78" spans="1:18" s="6" customFormat="1" ht="44.25" customHeight="1">
      <c r="A78" s="8"/>
      <c r="B78" s="14" t="s">
        <v>128</v>
      </c>
      <c r="C78" s="59">
        <v>24061900</v>
      </c>
      <c r="D78" s="36">
        <v>13</v>
      </c>
      <c r="E78" s="36">
        <v>0</v>
      </c>
      <c r="F78" s="143">
        <v>0</v>
      </c>
      <c r="G78" s="43">
        <f t="shared" si="12"/>
        <v>0</v>
      </c>
      <c r="H78" s="35"/>
      <c r="I78" s="50">
        <f t="shared" si="14"/>
        <v>-13</v>
      </c>
      <c r="J78" s="50"/>
      <c r="K78" s="50">
        <f>F78-0</f>
        <v>0</v>
      </c>
      <c r="L78" s="50" t="e">
        <f>F78/0*100</f>
        <v>#DIV/0!</v>
      </c>
      <c r="M78" s="35">
        <f>E78-'січень-2'!M77</f>
        <v>0</v>
      </c>
      <c r="N78" s="35">
        <f>F78-'січень-2'!F77</f>
        <v>0</v>
      </c>
      <c r="O78" s="47">
        <f t="shared" si="16"/>
        <v>0</v>
      </c>
      <c r="P78" s="50"/>
      <c r="Q78" s="50"/>
      <c r="R78" s="126"/>
    </row>
    <row r="79" spans="1:18" s="6" customFormat="1" ht="31.5">
      <c r="A79" s="8"/>
      <c r="B79" s="14" t="s">
        <v>129</v>
      </c>
      <c r="C79" s="59">
        <v>31010200</v>
      </c>
      <c r="D79" s="36">
        <v>26.5</v>
      </c>
      <c r="E79" s="36">
        <v>4</v>
      </c>
      <c r="F79" s="143">
        <v>2.04</v>
      </c>
      <c r="G79" s="43">
        <f t="shared" si="12"/>
        <v>-1.96</v>
      </c>
      <c r="H79" s="35">
        <f>F79/E79*100</f>
        <v>51</v>
      </c>
      <c r="I79" s="50">
        <f t="shared" si="14"/>
        <v>-24.46</v>
      </c>
      <c r="J79" s="50">
        <f>F79/D79*100</f>
        <v>7.698113207547171</v>
      </c>
      <c r="K79" s="50">
        <f>F79-2.7</f>
        <v>-0.6600000000000001</v>
      </c>
      <c r="L79" s="50">
        <f>F79/2.7*100</f>
        <v>75.55555555555556</v>
      </c>
      <c r="M79" s="35">
        <f>E79-'січень-2'!M78</f>
        <v>2.2</v>
      </c>
      <c r="N79" s="35">
        <f>F79-'січень-2'!F78</f>
        <v>0.24</v>
      </c>
      <c r="O79" s="47">
        <f t="shared" si="16"/>
        <v>-1.9600000000000002</v>
      </c>
      <c r="P79" s="50">
        <f t="shared" si="20"/>
        <v>10.909090909090907</v>
      </c>
      <c r="Q79" s="50"/>
      <c r="R79" s="126"/>
    </row>
    <row r="80" spans="1:18" s="6" customFormat="1" ht="31.5">
      <c r="A80" s="8"/>
      <c r="B80" s="14" t="s">
        <v>165</v>
      </c>
      <c r="C80" s="59">
        <v>31020000</v>
      </c>
      <c r="D80" s="36">
        <v>0</v>
      </c>
      <c r="E80" s="36">
        <v>0</v>
      </c>
      <c r="F80" s="143">
        <v>0.02</v>
      </c>
      <c r="G80" s="43">
        <f t="shared" si="12"/>
        <v>0.02</v>
      </c>
      <c r="H80" s="35"/>
      <c r="I80" s="50">
        <f t="shared" si="14"/>
        <v>0.02</v>
      </c>
      <c r="J80" s="50"/>
      <c r="K80" s="50">
        <f>F80-0</f>
        <v>0.02</v>
      </c>
      <c r="L80" s="50"/>
      <c r="M80" s="35">
        <f>E80-'січень-2'!M79</f>
        <v>0</v>
      </c>
      <c r="N80" s="35">
        <f>F80-'січень-2'!F79</f>
        <v>0</v>
      </c>
      <c r="O80" s="47">
        <f t="shared" si="16"/>
        <v>0</v>
      </c>
      <c r="P80" s="50"/>
      <c r="Q80" s="50"/>
      <c r="R80" s="126"/>
    </row>
    <row r="81" spans="1:22" s="6" customFormat="1" ht="18.75">
      <c r="A81" s="9"/>
      <c r="B81" s="17" t="s">
        <v>109</v>
      </c>
      <c r="C81" s="84"/>
      <c r="D81" s="18">
        <f>D8+D48+D79+D80</f>
        <v>530022.6</v>
      </c>
      <c r="E81" s="18">
        <f>E8+E48+E79+E80</f>
        <v>81192.5</v>
      </c>
      <c r="F81" s="18">
        <f>F8+F48+F79+F80</f>
        <v>64084.439999999995</v>
      </c>
      <c r="G81" s="44">
        <f>F81-E81</f>
        <v>-17108.060000000005</v>
      </c>
      <c r="H81" s="45">
        <f>F81/E81*100</f>
        <v>78.92901437940696</v>
      </c>
      <c r="I81" s="31">
        <f>F81-D81</f>
        <v>-465938.16</v>
      </c>
      <c r="J81" s="31">
        <f>F81/D81*100</f>
        <v>12.090888199861666</v>
      </c>
      <c r="K81" s="31">
        <f>K8+K48+K79+K80</f>
        <v>-10373.941999999994</v>
      </c>
      <c r="L81" s="31"/>
      <c r="M81" s="18">
        <f>M8+M48+M79+M80</f>
        <v>45098.799999999996</v>
      </c>
      <c r="N81" s="18">
        <f>N8+N48+N79+N80</f>
        <v>25345.924</v>
      </c>
      <c r="O81" s="49">
        <f>N81-M81</f>
        <v>-19752.875999999997</v>
      </c>
      <c r="P81" s="31">
        <f>N81/M81*100</f>
        <v>56.20088339379319</v>
      </c>
      <c r="Q81" s="31">
        <f>N81-34768</f>
        <v>-9422.076000000001</v>
      </c>
      <c r="R81" s="171">
        <f>N81/34768</f>
        <v>0.7290014956281639</v>
      </c>
      <c r="S81" s="172"/>
      <c r="T81" s="166"/>
      <c r="U81" s="175"/>
      <c r="V81" s="175"/>
    </row>
    <row r="82" spans="1:18" s="66" customFormat="1" ht="18.75" hidden="1">
      <c r="A82" s="62"/>
      <c r="B82" s="75" t="s">
        <v>150</v>
      </c>
      <c r="C82" s="85"/>
      <c r="D82" s="64">
        <v>0</v>
      </c>
      <c r="E82" s="112">
        <v>0</v>
      </c>
      <c r="F82" s="112">
        <v>0</v>
      </c>
      <c r="G82" s="102">
        <f>F82-E82</f>
        <v>0</v>
      </c>
      <c r="H82" s="65" t="e">
        <f>F82/E82*100</f>
        <v>#DIV/0!</v>
      </c>
      <c r="I82" s="74">
        <f>F82-D82</f>
        <v>0</v>
      </c>
      <c r="J82" s="46" t="e">
        <f>F82/D82*100</f>
        <v>#DIV/0!</v>
      </c>
      <c r="K82" s="46"/>
      <c r="L82" s="46"/>
      <c r="M82" s="113">
        <f>E82</f>
        <v>0</v>
      </c>
      <c r="N82" s="64"/>
      <c r="O82" s="109">
        <f>N82-M82</f>
        <v>0</v>
      </c>
      <c r="P82" s="46" t="e">
        <f>N82/M82*100</f>
        <v>#DIV/0!</v>
      </c>
      <c r="Q82" s="46"/>
      <c r="R82" s="128"/>
    </row>
    <row r="83" spans="1:18" s="66" customFormat="1" ht="18.75" hidden="1">
      <c r="A83" s="62"/>
      <c r="B83" s="76" t="s">
        <v>152</v>
      </c>
      <c r="C83" s="85"/>
      <c r="D83" s="77">
        <v>1171.6179</v>
      </c>
      <c r="E83" s="64">
        <v>1171.6179</v>
      </c>
      <c r="F83" s="112">
        <f>'[2]січень'!$C$27/1000</f>
        <v>0</v>
      </c>
      <c r="G83" s="55">
        <f>F83-E83</f>
        <v>-1171.6179</v>
      </c>
      <c r="H83" s="65"/>
      <c r="I83" s="78">
        <f>F83-D83</f>
        <v>-1171.6179</v>
      </c>
      <c r="J83" s="46"/>
      <c r="K83" s="46"/>
      <c r="L83" s="46"/>
      <c r="M83" s="35">
        <f>E83</f>
        <v>1171.6179</v>
      </c>
      <c r="N83" s="64">
        <f>F83</f>
        <v>0</v>
      </c>
      <c r="O83" s="79">
        <f>N83-M83</f>
        <v>-1171.6179</v>
      </c>
      <c r="P83" s="46">
        <f>N83/M83*100</f>
        <v>0</v>
      </c>
      <c r="Q83" s="46"/>
      <c r="R83" s="128"/>
    </row>
    <row r="84" spans="1:18" s="66" customFormat="1" ht="37.5" hidden="1">
      <c r="A84" s="62"/>
      <c r="B84" s="76" t="s">
        <v>177</v>
      </c>
      <c r="C84" s="85"/>
      <c r="D84" s="77"/>
      <c r="E84" s="43">
        <v>0</v>
      </c>
      <c r="F84" s="147">
        <v>0</v>
      </c>
      <c r="G84" s="55">
        <f>F84-E84</f>
        <v>0</v>
      </c>
      <c r="H84" s="65"/>
      <c r="I84" s="78"/>
      <c r="J84" s="46"/>
      <c r="K84" s="46"/>
      <c r="L84" s="46"/>
      <c r="M84" s="35">
        <v>0</v>
      </c>
      <c r="N84" s="77">
        <v>0</v>
      </c>
      <c r="O84" s="109">
        <f>N84-M84</f>
        <v>0</v>
      </c>
      <c r="P84" s="46"/>
      <c r="Q84" s="46"/>
      <c r="R84" s="128"/>
    </row>
    <row r="85" spans="2:18" ht="15.75">
      <c r="B85" s="25" t="s">
        <v>110</v>
      </c>
      <c r="C85" s="86"/>
      <c r="D85" s="28"/>
      <c r="E85" s="28"/>
      <c r="F85" s="146"/>
      <c r="G85" s="43"/>
      <c r="H85" s="35"/>
      <c r="I85" s="53"/>
      <c r="J85" s="53"/>
      <c r="K85" s="53"/>
      <c r="L85" s="53"/>
      <c r="M85" s="36"/>
      <c r="N85" s="36"/>
      <c r="O85" s="47"/>
      <c r="P85" s="53"/>
      <c r="Q85" s="53"/>
      <c r="R85" s="129"/>
    </row>
    <row r="86" spans="2:18" ht="31.5">
      <c r="B86" s="26" t="s">
        <v>170</v>
      </c>
      <c r="C86" s="97">
        <v>18041500</v>
      </c>
      <c r="D86" s="28">
        <v>0</v>
      </c>
      <c r="E86" s="28">
        <v>0</v>
      </c>
      <c r="F86" s="146">
        <v>-7.17</v>
      </c>
      <c r="G86" s="43">
        <f aca="true" t="shared" si="21" ref="G86:G94">F86-E86</f>
        <v>-7.17</v>
      </c>
      <c r="H86" s="35"/>
      <c r="I86" s="53">
        <f aca="true" t="shared" si="22" ref="I86:I93">F86-D86</f>
        <v>-7.17</v>
      </c>
      <c r="J86" s="53"/>
      <c r="K86" s="47">
        <f>F86-(-7.2)</f>
        <v>0.03000000000000025</v>
      </c>
      <c r="L86" s="53"/>
      <c r="M86" s="35">
        <f>E86-'січень-2'!E85</f>
        <v>0</v>
      </c>
      <c r="N86" s="35">
        <f>F86-'січень-2'!F85</f>
        <v>-11.57</v>
      </c>
      <c r="O86" s="47">
        <f aca="true" t="shared" si="23" ref="O86:O94">N86-M86</f>
        <v>-11.57</v>
      </c>
      <c r="P86" s="53"/>
      <c r="Q86" s="53">
        <f>N86-24.53</f>
        <v>-36.1</v>
      </c>
      <c r="R86" s="129">
        <f>N86/24.53</f>
        <v>-0.471667346106808</v>
      </c>
    </row>
    <row r="87" spans="2:18" ht="15.75">
      <c r="B87" s="32" t="s">
        <v>130</v>
      </c>
      <c r="C87" s="98"/>
      <c r="D87" s="33">
        <f>D86</f>
        <v>0</v>
      </c>
      <c r="E87" s="33">
        <f>E86</f>
        <v>0</v>
      </c>
      <c r="F87" s="145">
        <f>SUM(F86:F86)</f>
        <v>-7.17</v>
      </c>
      <c r="G87" s="55">
        <f t="shared" si="21"/>
        <v>-7.17</v>
      </c>
      <c r="H87" s="65"/>
      <c r="I87" s="54">
        <f t="shared" si="22"/>
        <v>-7.17</v>
      </c>
      <c r="J87" s="54"/>
      <c r="K87" s="54">
        <f>F87-(-7.15)</f>
        <v>-0.019999999999999574</v>
      </c>
      <c r="L87" s="54">
        <f>F87/223.32*100</f>
        <v>-3.2106394411606662</v>
      </c>
      <c r="M87" s="55">
        <f>M86</f>
        <v>0</v>
      </c>
      <c r="N87" s="33">
        <f>SUM(N86:N86)</f>
        <v>-11.57</v>
      </c>
      <c r="O87" s="54">
        <f t="shared" si="23"/>
        <v>-11.57</v>
      </c>
      <c r="P87" s="54"/>
      <c r="Q87" s="54">
        <f>N87-92.85</f>
        <v>-104.41999999999999</v>
      </c>
      <c r="R87" s="130">
        <f>N87/92.85</f>
        <v>-0.12460958535271945</v>
      </c>
    </row>
    <row r="88" spans="2:18" ht="47.25" hidden="1">
      <c r="B88" s="26" t="s">
        <v>121</v>
      </c>
      <c r="C88" s="98">
        <v>21110000</v>
      </c>
      <c r="D88" s="28">
        <v>0</v>
      </c>
      <c r="E88" s="28"/>
      <c r="F88" s="146">
        <v>0</v>
      </c>
      <c r="G88" s="43">
        <f t="shared" si="21"/>
        <v>0</v>
      </c>
      <c r="H88" s="35" t="e">
        <f aca="true" t="shared" si="24" ref="H88:H94">F88/E88*100</f>
        <v>#DIV/0!</v>
      </c>
      <c r="I88" s="53">
        <f t="shared" si="22"/>
        <v>0</v>
      </c>
      <c r="J88" s="53" t="e">
        <f aca="true" t="shared" si="25" ref="J88:J93">F88/D88*100</f>
        <v>#DIV/0!</v>
      </c>
      <c r="K88" s="53"/>
      <c r="L88" s="53"/>
      <c r="M88" s="36">
        <v>0</v>
      </c>
      <c r="N88" s="36">
        <f>F88</f>
        <v>0</v>
      </c>
      <c r="O88" s="47">
        <f t="shared" si="23"/>
        <v>0</v>
      </c>
      <c r="P88" s="53"/>
      <c r="Q88" s="53"/>
      <c r="R88" s="129"/>
    </row>
    <row r="89" spans="2:18" ht="31.5">
      <c r="B89" s="26" t="s">
        <v>111</v>
      </c>
      <c r="C89" s="97">
        <v>31030000</v>
      </c>
      <c r="D89" s="167">
        <v>2500</v>
      </c>
      <c r="E89" s="28">
        <v>0</v>
      </c>
      <c r="F89" s="146">
        <v>0.07</v>
      </c>
      <c r="G89" s="43">
        <f t="shared" si="21"/>
        <v>0.07</v>
      </c>
      <c r="H89" s="35"/>
      <c r="I89" s="53">
        <f t="shared" si="22"/>
        <v>-2499.93</v>
      </c>
      <c r="J89" s="53">
        <f t="shared" si="25"/>
        <v>0.0028000000000000004</v>
      </c>
      <c r="K89" s="53">
        <f>F89-475.9</f>
        <v>-475.83</v>
      </c>
      <c r="L89" s="53">
        <f>F89/475.9*100</f>
        <v>0.014708972473208659</v>
      </c>
      <c r="M89" s="35">
        <f>E89-'січень-2'!E88</f>
        <v>0</v>
      </c>
      <c r="N89" s="35">
        <f>F89-'січень-2'!F88</f>
        <v>0.04000000000000001</v>
      </c>
      <c r="O89" s="47">
        <f t="shared" si="23"/>
        <v>0.04000000000000001</v>
      </c>
      <c r="P89" s="53"/>
      <c r="Q89" s="53">
        <f>N89-0.04</f>
        <v>0</v>
      </c>
      <c r="R89" s="129">
        <f>N89/0.04</f>
        <v>1.0000000000000002</v>
      </c>
    </row>
    <row r="90" spans="2:18" ht="15.75">
      <c r="B90" s="26" t="s">
        <v>112</v>
      </c>
      <c r="C90" s="97">
        <v>33010000</v>
      </c>
      <c r="D90" s="167">
        <v>11576</v>
      </c>
      <c r="E90" s="28">
        <v>355.978</v>
      </c>
      <c r="F90" s="146">
        <v>259.69</v>
      </c>
      <c r="G90" s="43">
        <f t="shared" si="21"/>
        <v>-96.28800000000001</v>
      </c>
      <c r="H90" s="35">
        <f t="shared" si="24"/>
        <v>72.95113742984117</v>
      </c>
      <c r="I90" s="53">
        <f t="shared" si="22"/>
        <v>-11316.31</v>
      </c>
      <c r="J90" s="53">
        <f t="shared" si="25"/>
        <v>2.2433483068417415</v>
      </c>
      <c r="K90" s="53">
        <f>F90-1043.17</f>
        <v>-783.48</v>
      </c>
      <c r="L90" s="53">
        <f>F90/1043.17*100</f>
        <v>24.89431252815936</v>
      </c>
      <c r="M90" s="35">
        <f>E90-'січень-2'!E89</f>
        <v>96.28000000000003</v>
      </c>
      <c r="N90" s="35">
        <f>F90-'січень-2'!F89</f>
        <v>0</v>
      </c>
      <c r="O90" s="47">
        <f t="shared" si="23"/>
        <v>-96.28000000000003</v>
      </c>
      <c r="P90" s="53">
        <f>N90/M90*100</f>
        <v>0</v>
      </c>
      <c r="Q90" s="53">
        <f>N90-450.01</f>
        <v>-450.01</v>
      </c>
      <c r="R90" s="129">
        <f>N90/450.01</f>
        <v>0</v>
      </c>
    </row>
    <row r="91" spans="2:18" ht="31.5">
      <c r="B91" s="26" t="s">
        <v>156</v>
      </c>
      <c r="C91" s="97">
        <v>24170000</v>
      </c>
      <c r="D91" s="167">
        <v>3000</v>
      </c>
      <c r="E91" s="28">
        <v>148.1</v>
      </c>
      <c r="F91" s="146">
        <v>-2</v>
      </c>
      <c r="G91" s="43">
        <f t="shared" si="21"/>
        <v>-150.1</v>
      </c>
      <c r="H91" s="35">
        <f t="shared" si="24"/>
        <v>-1.350438892640108</v>
      </c>
      <c r="I91" s="53">
        <f t="shared" si="22"/>
        <v>-3002</v>
      </c>
      <c r="J91" s="53">
        <f t="shared" si="25"/>
        <v>-0.06666666666666667</v>
      </c>
      <c r="K91" s="53">
        <f>F91-87.4</f>
        <v>-89.4</v>
      </c>
      <c r="L91" s="53">
        <f>F91/87.4*100</f>
        <v>-2.2883295194508007</v>
      </c>
      <c r="M91" s="35">
        <f>E91-'січень-2'!E90</f>
        <v>148.1</v>
      </c>
      <c r="N91" s="35">
        <f>F91-'січень-2'!F90</f>
        <v>14.04</v>
      </c>
      <c r="O91" s="47">
        <f t="shared" si="23"/>
        <v>-134.06</v>
      </c>
      <c r="P91" s="53">
        <f>N91/M91*100</f>
        <v>9.48008102633356</v>
      </c>
      <c r="Q91" s="53">
        <f>N91-1.05</f>
        <v>12.989999999999998</v>
      </c>
      <c r="R91" s="129">
        <f>N91/1.05</f>
        <v>13.37142857142857</v>
      </c>
    </row>
    <row r="92" spans="2:19" ht="34.5">
      <c r="B92" s="32" t="s">
        <v>144</v>
      </c>
      <c r="C92" s="87"/>
      <c r="D92" s="33">
        <f>D89+D90+D91</f>
        <v>17076</v>
      </c>
      <c r="E92" s="33">
        <f>E89+E90+E91</f>
        <v>504.078</v>
      </c>
      <c r="F92" s="145">
        <f>F89+F90+F91</f>
        <v>257.76</v>
      </c>
      <c r="G92" s="55">
        <f t="shared" si="21"/>
        <v>-246.31799999999998</v>
      </c>
      <c r="H92" s="65">
        <f t="shared" si="24"/>
        <v>51.13494340161642</v>
      </c>
      <c r="I92" s="54">
        <f t="shared" si="22"/>
        <v>-16818.24</v>
      </c>
      <c r="J92" s="54">
        <f t="shared" si="25"/>
        <v>1.5094869992972593</v>
      </c>
      <c r="K92" s="54">
        <f>F92-1606.47</f>
        <v>-1348.71</v>
      </c>
      <c r="L92" s="54">
        <f>F92/1606.47*100</f>
        <v>16.045117555883394</v>
      </c>
      <c r="M92" s="55">
        <f>M89+M90+M91</f>
        <v>244.38000000000002</v>
      </c>
      <c r="N92" s="55">
        <f>N89+N90+N91</f>
        <v>14.079999999999998</v>
      </c>
      <c r="O92" s="54">
        <f t="shared" si="23"/>
        <v>-230.3</v>
      </c>
      <c r="P92" s="54">
        <f>N92/M92*100</f>
        <v>5.761518945903918</v>
      </c>
      <c r="Q92" s="54">
        <f>N92-7985.28</f>
        <v>-7971.2</v>
      </c>
      <c r="R92" s="173">
        <f>N92/7985.28</f>
        <v>0.0017632443696401377</v>
      </c>
      <c r="S92" s="174"/>
    </row>
    <row r="93" spans="2:18" ht="47.25">
      <c r="B93" s="14" t="s">
        <v>124</v>
      </c>
      <c r="C93" s="100">
        <v>24062100</v>
      </c>
      <c r="D93" s="167">
        <v>35</v>
      </c>
      <c r="E93" s="28">
        <v>0</v>
      </c>
      <c r="F93" s="146">
        <v>0</v>
      </c>
      <c r="G93" s="43">
        <f t="shared" si="21"/>
        <v>0</v>
      </c>
      <c r="H93" s="35"/>
      <c r="I93" s="53">
        <f t="shared" si="22"/>
        <v>-35</v>
      </c>
      <c r="J93" s="53">
        <f t="shared" si="25"/>
        <v>0</v>
      </c>
      <c r="K93" s="53">
        <f>F93-0.16</f>
        <v>-0.16</v>
      </c>
      <c r="L93" s="53">
        <f>F93/0.16*100</f>
        <v>0</v>
      </c>
      <c r="M93" s="35">
        <f>E93-'січень-2'!E92</f>
        <v>0</v>
      </c>
      <c r="N93" s="35">
        <f>F93-'січень-2'!F92</f>
        <v>0</v>
      </c>
      <c r="O93" s="47">
        <f t="shared" si="23"/>
        <v>0</v>
      </c>
      <c r="P93" s="53"/>
      <c r="Q93" s="53">
        <f>N93-0.16</f>
        <v>-0.16</v>
      </c>
      <c r="R93" s="129">
        <f>N93/0.16</f>
        <v>0</v>
      </c>
    </row>
    <row r="94" spans="2:18" ht="15.75" hidden="1">
      <c r="B94" s="37"/>
      <c r="C94" s="100">
        <v>24062100</v>
      </c>
      <c r="D94" s="28">
        <v>0</v>
      </c>
      <c r="E94" s="28">
        <v>0</v>
      </c>
      <c r="F94" s="146">
        <v>0</v>
      </c>
      <c r="G94" s="43">
        <f t="shared" si="21"/>
        <v>0</v>
      </c>
      <c r="H94" s="35" t="e">
        <f t="shared" si="24"/>
        <v>#DIV/0!</v>
      </c>
      <c r="I94" s="56"/>
      <c r="J94" s="56"/>
      <c r="K94" s="56"/>
      <c r="L94" s="53">
        <f>F94</f>
        <v>0</v>
      </c>
      <c r="M94" s="35">
        <f>E94-'січень-2'!E93</f>
        <v>0</v>
      </c>
      <c r="N94" s="35">
        <f>F94-'січень-2'!F93</f>
        <v>0</v>
      </c>
      <c r="O94" s="47">
        <f t="shared" si="23"/>
        <v>0</v>
      </c>
      <c r="P94" s="56"/>
      <c r="Q94" s="56"/>
      <c r="R94" s="131"/>
    </row>
    <row r="95" spans="2:18" ht="15.75">
      <c r="B95" s="26" t="s">
        <v>146</v>
      </c>
      <c r="C95" s="97">
        <v>24061600</v>
      </c>
      <c r="D95" s="167">
        <v>19</v>
      </c>
      <c r="E95" s="28">
        <v>0</v>
      </c>
      <c r="F95" s="146">
        <v>0</v>
      </c>
      <c r="G95" s="43"/>
      <c r="H95" s="35"/>
      <c r="I95" s="56"/>
      <c r="J95" s="56"/>
      <c r="K95" s="47">
        <f>F95-8.76</f>
        <v>-8.76</v>
      </c>
      <c r="L95" s="53">
        <f>F95/8.76*100</f>
        <v>0</v>
      </c>
      <c r="M95" s="35">
        <f>E95-'січень-2'!E94</f>
        <v>0</v>
      </c>
      <c r="N95" s="35">
        <f>F95-'січень-2'!F94</f>
        <v>0</v>
      </c>
      <c r="O95" s="47"/>
      <c r="P95" s="56"/>
      <c r="Q95" s="56">
        <f>N95-8.76</f>
        <v>-8.76</v>
      </c>
      <c r="R95" s="131">
        <f>N95/8.76</f>
        <v>0</v>
      </c>
    </row>
    <row r="96" spans="2:18" ht="31.5">
      <c r="B96" s="26" t="s">
        <v>140</v>
      </c>
      <c r="C96" s="97">
        <v>19050000</v>
      </c>
      <c r="D96" s="28">
        <v>0</v>
      </c>
      <c r="E96" s="28">
        <v>0</v>
      </c>
      <c r="F96" s="146">
        <v>0.32</v>
      </c>
      <c r="G96" s="43">
        <f>F96-E96</f>
        <v>0.32</v>
      </c>
      <c r="H96" s="35"/>
      <c r="I96" s="53">
        <f>F96-D96</f>
        <v>0.32</v>
      </c>
      <c r="J96" s="53"/>
      <c r="K96" s="53">
        <f>F96-(-0.23)</f>
        <v>0.55</v>
      </c>
      <c r="L96" s="53">
        <f>F96/(-0.23)*100</f>
        <v>-139.1304347826087</v>
      </c>
      <c r="M96" s="35">
        <f>E96-'січень-2'!E95</f>
        <v>0</v>
      </c>
      <c r="N96" s="35">
        <f>F96-'січень-2'!F95</f>
        <v>0.15</v>
      </c>
      <c r="O96" s="47">
        <f>N96-M96</f>
        <v>0.15</v>
      </c>
      <c r="P96" s="53"/>
      <c r="Q96" s="53">
        <f>N96-(-0.21)</f>
        <v>0.36</v>
      </c>
      <c r="R96" s="129"/>
    </row>
    <row r="97" spans="2:18" ht="31.5">
      <c r="B97" s="32" t="s">
        <v>134</v>
      </c>
      <c r="C97" s="97"/>
      <c r="D97" s="33">
        <f>D93+D96+D95</f>
        <v>54</v>
      </c>
      <c r="E97" s="33">
        <f>E93+E96+E95</f>
        <v>0</v>
      </c>
      <c r="F97" s="145">
        <f>F93+F96+F95</f>
        <v>0.32</v>
      </c>
      <c r="G97" s="55">
        <f>F97-E97</f>
        <v>0.32</v>
      </c>
      <c r="H97" s="65"/>
      <c r="I97" s="54">
        <f>F97-D97</f>
        <v>-53.68</v>
      </c>
      <c r="J97" s="54">
        <f>F97/D97*100</f>
        <v>0.5925925925925926</v>
      </c>
      <c r="K97" s="54">
        <f>F97-8.69</f>
        <v>-8.37</v>
      </c>
      <c r="L97" s="54">
        <f>F97/8.69*100</f>
        <v>3.6823935558112773</v>
      </c>
      <c r="M97" s="55">
        <f>M93+M96+M95</f>
        <v>0</v>
      </c>
      <c r="N97" s="55">
        <f>N93+N96+N95</f>
        <v>0.15</v>
      </c>
      <c r="O97" s="54">
        <f>N97-M97</f>
        <v>0.15</v>
      </c>
      <c r="P97" s="54"/>
      <c r="Q97" s="54">
        <f>N97-26.38</f>
        <v>-26.23</v>
      </c>
      <c r="R97" s="128">
        <f>N97/26.38</f>
        <v>0.005686125852918878</v>
      </c>
    </row>
    <row r="98" spans="2:18" ht="31.5">
      <c r="B98" s="14" t="s">
        <v>125</v>
      </c>
      <c r="C98" s="59">
        <v>24110900</v>
      </c>
      <c r="D98" s="167">
        <v>42</v>
      </c>
      <c r="E98" s="28">
        <v>2.59</v>
      </c>
      <c r="F98" s="146">
        <v>0.59</v>
      </c>
      <c r="G98" s="43">
        <f>F98-E98</f>
        <v>-2</v>
      </c>
      <c r="H98" s="35">
        <f>F98/E98*100</f>
        <v>22.779922779922778</v>
      </c>
      <c r="I98" s="53">
        <f>F98-D98</f>
        <v>-41.41</v>
      </c>
      <c r="J98" s="53">
        <f>F98/D98*100</f>
        <v>1.4047619047619047</v>
      </c>
      <c r="K98" s="53">
        <f>F98-1.98</f>
        <v>-1.3900000000000001</v>
      </c>
      <c r="L98" s="53">
        <f>F98/1.98*100</f>
        <v>29.797979797979796</v>
      </c>
      <c r="M98" s="35">
        <f>E98-'січень-2'!E97</f>
        <v>2</v>
      </c>
      <c r="N98" s="35">
        <f>F98-'січень-2'!F97</f>
        <v>0</v>
      </c>
      <c r="O98" s="47">
        <f>N98-M98</f>
        <v>-2</v>
      </c>
      <c r="P98" s="53">
        <f>N98/M98*100</f>
        <v>0</v>
      </c>
      <c r="Q98" s="53">
        <f>N98-0.45</f>
        <v>-0.45</v>
      </c>
      <c r="R98" s="129">
        <f>N98/0.45</f>
        <v>0</v>
      </c>
    </row>
    <row r="99" spans="2:18" ht="23.25" customHeight="1">
      <c r="B99" s="17" t="s">
        <v>114</v>
      </c>
      <c r="C99" s="88"/>
      <c r="D99" s="27">
        <f>D87+D98+D92+D97</f>
        <v>17172</v>
      </c>
      <c r="E99" s="27">
        <f>E87+E98+E92+E97</f>
        <v>506.66799999999995</v>
      </c>
      <c r="F99" s="27">
        <f>F87+F98+F92+F97</f>
        <v>251.49999999999997</v>
      </c>
      <c r="G99" s="44">
        <f>F99-E99</f>
        <v>-255.16799999999998</v>
      </c>
      <c r="H99" s="45">
        <f>F99/E99*100</f>
        <v>49.63802726834929</v>
      </c>
      <c r="I99" s="31">
        <f>F99-D99</f>
        <v>-16920.5</v>
      </c>
      <c r="J99" s="31">
        <f>F99/D99*100</f>
        <v>1.4645935243419517</v>
      </c>
      <c r="K99" s="31">
        <f>K87+K92+K97+K98</f>
        <v>-1358.49</v>
      </c>
      <c r="L99" s="31"/>
      <c r="M99" s="27">
        <f>M87+M98+M92+M97</f>
        <v>246.38000000000002</v>
      </c>
      <c r="N99" s="27">
        <f>N87+N98+N92+N97</f>
        <v>2.659999999999998</v>
      </c>
      <c r="O99" s="31">
        <f>N99-M99</f>
        <v>-243.72000000000003</v>
      </c>
      <c r="P99" s="31">
        <f>N99/M99*100</f>
        <v>1.0796330871012247</v>
      </c>
      <c r="Q99" s="31">
        <f>N99-8104.96</f>
        <v>-8102.3</v>
      </c>
      <c r="R99" s="127">
        <f>N99/8104.96</f>
        <v>0.00032819409349336677</v>
      </c>
    </row>
    <row r="100" spans="2:18" ht="18.75">
      <c r="B100" s="24" t="s">
        <v>115</v>
      </c>
      <c r="C100" s="88"/>
      <c r="D100" s="27">
        <f>D81+D99</f>
        <v>547194.6</v>
      </c>
      <c r="E100" s="27">
        <f>E81+E99</f>
        <v>81699.168</v>
      </c>
      <c r="F100" s="27">
        <f>F81+F99</f>
        <v>64335.939999999995</v>
      </c>
      <c r="G100" s="44">
        <f>F100-E100</f>
        <v>-17363.22800000001</v>
      </c>
      <c r="H100" s="45">
        <f>F100/E100*100</f>
        <v>78.74736251904058</v>
      </c>
      <c r="I100" s="31">
        <f>F100-D100</f>
        <v>-482858.66</v>
      </c>
      <c r="J100" s="31">
        <f>F100/D100*100</f>
        <v>11.757415003729935</v>
      </c>
      <c r="K100" s="31">
        <f>K81+K99</f>
        <v>-11732.431999999993</v>
      </c>
      <c r="L100" s="31"/>
      <c r="M100" s="18">
        <f>M81+M99</f>
        <v>45345.17999999999</v>
      </c>
      <c r="N100" s="18">
        <f>N81+N99</f>
        <v>25348.584</v>
      </c>
      <c r="O100" s="31">
        <f>N100-M100</f>
        <v>-19996.595999999994</v>
      </c>
      <c r="P100" s="31">
        <f>N100/M100*100</f>
        <v>55.90138577021858</v>
      </c>
      <c r="Q100" s="31">
        <f>N100-42872.96</f>
        <v>-17524.376</v>
      </c>
      <c r="R100" s="127">
        <f>N100/42872.96</f>
        <v>0.5912487497947424</v>
      </c>
    </row>
    <row r="101" spans="2:14" ht="15.75">
      <c r="B101" s="23" t="s">
        <v>117</v>
      </c>
      <c r="N101" s="29"/>
    </row>
    <row r="102" spans="2:4" ht="15.75">
      <c r="B102" s="4" t="s">
        <v>119</v>
      </c>
      <c r="C102" s="101">
        <v>9</v>
      </c>
      <c r="D102" s="4" t="s">
        <v>118</v>
      </c>
    </row>
    <row r="103" spans="2:17" ht="31.5">
      <c r="B103" s="71" t="s">
        <v>154</v>
      </c>
      <c r="C103" s="34">
        <f>IF(O81&lt;0,ABS(O81/C102),0)</f>
        <v>2194.7639999999997</v>
      </c>
      <c r="D103" s="4" t="s">
        <v>104</v>
      </c>
      <c r="G103" s="207"/>
      <c r="H103" s="207"/>
      <c r="I103" s="207"/>
      <c r="J103" s="207"/>
      <c r="K103" s="115"/>
      <c r="L103" s="115"/>
      <c r="P103" s="29"/>
      <c r="Q103" s="29"/>
    </row>
    <row r="104" spans="2:15" ht="34.5" customHeight="1">
      <c r="B104" s="72" t="s">
        <v>159</v>
      </c>
      <c r="C104" s="111">
        <v>42051</v>
      </c>
      <c r="D104" s="34">
        <v>2238.5</v>
      </c>
      <c r="N104" s="208"/>
      <c r="O104" s="208"/>
    </row>
    <row r="105" spans="3:15" ht="15.75">
      <c r="C105" s="111">
        <v>42048</v>
      </c>
      <c r="D105" s="34">
        <v>4863.5</v>
      </c>
      <c r="F105" s="155" t="s">
        <v>166</v>
      </c>
      <c r="G105" s="209"/>
      <c r="H105" s="209"/>
      <c r="I105" s="177"/>
      <c r="J105" s="210"/>
      <c r="K105" s="210"/>
      <c r="L105" s="210"/>
      <c r="M105" s="210"/>
      <c r="N105" s="208"/>
      <c r="O105" s="208"/>
    </row>
    <row r="106" spans="3:15" ht="15.75" customHeight="1">
      <c r="C106" s="111">
        <v>42047</v>
      </c>
      <c r="D106" s="34">
        <v>2023.4</v>
      </c>
      <c r="G106" s="214" t="s">
        <v>151</v>
      </c>
      <c r="H106" s="214"/>
      <c r="I106" s="106">
        <v>8909.73</v>
      </c>
      <c r="J106" s="215"/>
      <c r="K106" s="215"/>
      <c r="L106" s="215"/>
      <c r="M106" s="215"/>
      <c r="N106" s="208"/>
      <c r="O106" s="208"/>
    </row>
    <row r="107" spans="7:13" ht="15.75" customHeight="1">
      <c r="G107" s="216" t="s">
        <v>155</v>
      </c>
      <c r="H107" s="216"/>
      <c r="I107" s="103">
        <v>0</v>
      </c>
      <c r="J107" s="210"/>
      <c r="K107" s="210"/>
      <c r="L107" s="210"/>
      <c r="M107" s="210"/>
    </row>
    <row r="108" spans="2:13" ht="18.75" customHeight="1">
      <c r="B108" s="217" t="s">
        <v>160</v>
      </c>
      <c r="C108" s="218"/>
      <c r="D108" s="108">
        <v>123970.56</v>
      </c>
      <c r="E108" s="73"/>
      <c r="F108" s="156" t="s">
        <v>147</v>
      </c>
      <c r="G108" s="214" t="s">
        <v>149</v>
      </c>
      <c r="H108" s="214"/>
      <c r="I108" s="107">
        <v>115060.83</v>
      </c>
      <c r="J108" s="210"/>
      <c r="K108" s="210"/>
      <c r="L108" s="210"/>
      <c r="M108" s="210"/>
    </row>
    <row r="109" spans="7:12" ht="9.75" customHeight="1">
      <c r="G109" s="209"/>
      <c r="H109" s="209"/>
      <c r="I109" s="90"/>
      <c r="J109" s="91"/>
      <c r="K109" s="91"/>
      <c r="L109" s="91"/>
    </row>
    <row r="110" spans="2:12" ht="22.5" customHeight="1" hidden="1">
      <c r="B110" s="219" t="s">
        <v>167</v>
      </c>
      <c r="C110" s="220"/>
      <c r="D110" s="110">
        <v>0</v>
      </c>
      <c r="E110" s="70" t="s">
        <v>104</v>
      </c>
      <c r="G110" s="209"/>
      <c r="H110" s="209"/>
      <c r="I110" s="90"/>
      <c r="J110" s="91"/>
      <c r="K110" s="91"/>
      <c r="L110" s="91"/>
    </row>
    <row r="111" spans="4:15" ht="15.75">
      <c r="D111" s="105"/>
      <c r="N111" s="209"/>
      <c r="O111" s="209"/>
    </row>
    <row r="112" spans="4:15" ht="15.75">
      <c r="D112" s="104"/>
      <c r="I112" s="34"/>
      <c r="N112" s="221"/>
      <c r="O112" s="221"/>
    </row>
    <row r="113" spans="14:15" ht="15.75">
      <c r="N113" s="209"/>
      <c r="O113" s="209"/>
    </row>
  </sheetData>
  <mergeCells count="39">
    <mergeCell ref="N113:O113"/>
    <mergeCell ref="B110:C110"/>
    <mergeCell ref="G110:H110"/>
    <mergeCell ref="N111:O111"/>
    <mergeCell ref="N112:O112"/>
    <mergeCell ref="B108:C108"/>
    <mergeCell ref="G108:H108"/>
    <mergeCell ref="J108:M108"/>
    <mergeCell ref="G109:H109"/>
    <mergeCell ref="G106:H106"/>
    <mergeCell ref="J106:M106"/>
    <mergeCell ref="N106:O106"/>
    <mergeCell ref="G107:H107"/>
    <mergeCell ref="J107:M107"/>
    <mergeCell ref="Q5:R5"/>
    <mergeCell ref="G103:J103"/>
    <mergeCell ref="N104:O104"/>
    <mergeCell ref="G105:H105"/>
    <mergeCell ref="J105:M105"/>
    <mergeCell ref="N105:O105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9" right="0.18" top="0.35" bottom="0.39" header="0.17" footer="0.29"/>
  <pageSetup fitToHeight="1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12"/>
  <sheetViews>
    <sheetView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I19" sqref="I19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181" t="s">
        <v>193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17"/>
      <c r="R1" s="118"/>
    </row>
    <row r="2" spans="2:18" s="1" customFormat="1" ht="15.75" customHeight="1">
      <c r="B2" s="182"/>
      <c r="C2" s="182"/>
      <c r="D2" s="182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183"/>
      <c r="B3" s="185" t="s">
        <v>205</v>
      </c>
      <c r="C3" s="186" t="s">
        <v>0</v>
      </c>
      <c r="D3" s="187" t="s">
        <v>216</v>
      </c>
      <c r="E3" s="40"/>
      <c r="F3" s="188" t="s">
        <v>107</v>
      </c>
      <c r="G3" s="189"/>
      <c r="H3" s="189"/>
      <c r="I3" s="189"/>
      <c r="J3" s="190"/>
      <c r="K3" s="114"/>
      <c r="L3" s="114"/>
      <c r="M3" s="191" t="s">
        <v>220</v>
      </c>
      <c r="N3" s="194" t="s">
        <v>175</v>
      </c>
      <c r="O3" s="194"/>
      <c r="P3" s="194"/>
      <c r="Q3" s="194"/>
      <c r="R3" s="194"/>
    </row>
    <row r="4" spans="1:18" ht="22.5" customHeight="1">
      <c r="A4" s="183"/>
      <c r="B4" s="185"/>
      <c r="C4" s="186"/>
      <c r="D4" s="187"/>
      <c r="E4" s="195" t="s">
        <v>219</v>
      </c>
      <c r="F4" s="199" t="s">
        <v>116</v>
      </c>
      <c r="G4" s="201" t="s">
        <v>173</v>
      </c>
      <c r="H4" s="222" t="s">
        <v>174</v>
      </c>
      <c r="I4" s="224" t="s">
        <v>217</v>
      </c>
      <c r="J4" s="227" t="s">
        <v>218</v>
      </c>
      <c r="K4" s="116" t="s">
        <v>172</v>
      </c>
      <c r="L4" s="121" t="s">
        <v>171</v>
      </c>
      <c r="M4" s="192"/>
      <c r="N4" s="211" t="s">
        <v>194</v>
      </c>
      <c r="O4" s="224" t="s">
        <v>136</v>
      </c>
      <c r="P4" s="194" t="s">
        <v>135</v>
      </c>
      <c r="Q4" s="122" t="s">
        <v>172</v>
      </c>
      <c r="R4" s="123" t="s">
        <v>171</v>
      </c>
    </row>
    <row r="5" spans="1:19" ht="92.25" customHeight="1">
      <c r="A5" s="184"/>
      <c r="B5" s="185"/>
      <c r="C5" s="186"/>
      <c r="D5" s="187"/>
      <c r="E5" s="196"/>
      <c r="F5" s="200"/>
      <c r="G5" s="202"/>
      <c r="H5" s="223"/>
      <c r="I5" s="225"/>
      <c r="J5" s="228"/>
      <c r="K5" s="197" t="s">
        <v>188</v>
      </c>
      <c r="L5" s="198"/>
      <c r="M5" s="193"/>
      <c r="N5" s="212"/>
      <c r="O5" s="225"/>
      <c r="P5" s="194"/>
      <c r="Q5" s="197" t="s">
        <v>176</v>
      </c>
      <c r="R5" s="198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35051.9</v>
      </c>
      <c r="F8" s="18">
        <f>F10+F19+F30+F33+F34+F42</f>
        <v>37714.316</v>
      </c>
      <c r="G8" s="18">
        <f aca="true" t="shared" si="0" ref="G8:G46">F8-E8</f>
        <v>2662.4159999999974</v>
      </c>
      <c r="H8" s="45">
        <f>F8/E8*100</f>
        <v>107.59563960869454</v>
      </c>
      <c r="I8" s="31">
        <f aca="true" t="shared" si="1" ref="I8:I46">F8-D8</f>
        <v>-479714.684</v>
      </c>
      <c r="J8" s="31">
        <f aca="true" t="shared" si="2" ref="J8:J14">F8/D8*100</f>
        <v>7.28879053937835</v>
      </c>
      <c r="K8" s="31">
        <f>F8-33748.2</f>
        <v>3966.116000000002</v>
      </c>
      <c r="L8" s="31">
        <f>F8/33748.2*100</f>
        <v>111.75208159249976</v>
      </c>
      <c r="M8" s="18">
        <f>M10+M19+M30+M33+M34+M42</f>
        <v>35051.9</v>
      </c>
      <c r="N8" s="18">
        <f>N10+N19+N30+N33+N34+N42</f>
        <v>37714.316</v>
      </c>
      <c r="O8" s="31">
        <f aca="true" t="shared" si="3" ref="O8:O46">N8-M8</f>
        <v>2662.4159999999974</v>
      </c>
      <c r="P8" s="31">
        <f>F8/M8*100</f>
        <v>107.59563960869454</v>
      </c>
      <c r="Q8" s="31">
        <f>N8-33748.16</f>
        <v>3966.1559999999954</v>
      </c>
      <c r="R8" s="125">
        <f>N8/33748.16</f>
        <v>1.1175221404663245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23209.376000000004</v>
      </c>
      <c r="G9" s="18">
        <f t="shared" si="0"/>
        <v>23209.376000000004</v>
      </c>
      <c r="H9" s="16"/>
      <c r="I9" s="50">
        <f t="shared" si="1"/>
        <v>-289480.624</v>
      </c>
      <c r="J9" s="50">
        <f t="shared" si="2"/>
        <v>7.422487447631841</v>
      </c>
      <c r="K9" s="50"/>
      <c r="L9" s="50"/>
      <c r="M9" s="16">
        <f>M10+M17</f>
        <v>21005.4</v>
      </c>
      <c r="N9" s="16">
        <f>N10+N17</f>
        <v>23209.376000000004</v>
      </c>
      <c r="O9" s="31">
        <f t="shared" si="3"/>
        <v>2203.9760000000024</v>
      </c>
      <c r="P9" s="50">
        <f>F9/M9*100</f>
        <v>110.49242575718625</v>
      </c>
      <c r="Q9" s="50"/>
      <c r="R9" s="126"/>
    </row>
    <row r="10" spans="1:19" s="6" customFormat="1" ht="15.75">
      <c r="A10" s="8"/>
      <c r="B10" s="15" t="s">
        <v>145</v>
      </c>
      <c r="C10" s="59">
        <v>11010000</v>
      </c>
      <c r="D10" s="36">
        <v>312690</v>
      </c>
      <c r="E10" s="36">
        <v>21005.4</v>
      </c>
      <c r="F10" s="143">
        <f>'січень '!F10/75*60</f>
        <v>23209.376000000004</v>
      </c>
      <c r="G10" s="43">
        <f t="shared" si="0"/>
        <v>2203.9760000000024</v>
      </c>
      <c r="H10" s="35">
        <f aca="true" t="shared" si="4" ref="H10:H42">F10/E10*100</f>
        <v>110.49242575718625</v>
      </c>
      <c r="I10" s="50">
        <f t="shared" si="1"/>
        <v>-289480.624</v>
      </c>
      <c r="J10" s="50">
        <f t="shared" si="2"/>
        <v>7.422487447631841</v>
      </c>
      <c r="K10" s="132">
        <f>F10-26568.11</f>
        <v>-3358.7339999999967</v>
      </c>
      <c r="L10" s="132">
        <f>F10/26568.11*100</f>
        <v>87.35802433820096</v>
      </c>
      <c r="M10" s="35">
        <f>E10</f>
        <v>21005.4</v>
      </c>
      <c r="N10" s="35">
        <f>F10</f>
        <v>23209.376000000004</v>
      </c>
      <c r="O10" s="47">
        <f t="shared" si="3"/>
        <v>2203.9760000000024</v>
      </c>
      <c r="P10" s="50">
        <f aca="true" t="shared" si="5" ref="P10:P47">N10/M10*100</f>
        <v>110.49242575718625</v>
      </c>
      <c r="Q10" s="132">
        <f>N10-26568.11</f>
        <v>-3358.7339999999967</v>
      </c>
      <c r="R10" s="133">
        <f>N10/26568.11</f>
        <v>0.8735802433820096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 '!M11</f>
        <v>0</v>
      </c>
      <c r="N11" s="35">
        <f aca="true" t="shared" si="6" ref="N11:N42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 '!M12</f>
        <v>0</v>
      </c>
      <c r="N12" s="35">
        <f t="shared" si="6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 '!M13</f>
        <v>0</v>
      </c>
      <c r="N13" s="35">
        <f t="shared" si="6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 '!M14</f>
        <v>0</v>
      </c>
      <c r="N14" s="35">
        <f t="shared" si="6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 '!M15</f>
        <v>0</v>
      </c>
      <c r="N15" s="35">
        <f t="shared" si="6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 '!M16</f>
        <v>0</v>
      </c>
      <c r="N16" s="35">
        <f t="shared" si="6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 '!M17</f>
        <v>0</v>
      </c>
      <c r="N17" s="35">
        <f t="shared" si="6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 '!M18</f>
        <v>0</v>
      </c>
      <c r="N18" s="35">
        <f t="shared" si="6"/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-566.34</v>
      </c>
      <c r="G19" s="43">
        <f t="shared" si="0"/>
        <v>-566.34</v>
      </c>
      <c r="H19" s="35"/>
      <c r="I19" s="50">
        <f t="shared" si="1"/>
        <v>-1066.3400000000001</v>
      </c>
      <c r="J19" s="50">
        <f aca="true" t="shared" si="7" ref="J19:J28">F19/D19*100</f>
        <v>-113.26800000000001</v>
      </c>
      <c r="K19" s="50">
        <f>F19-358.81</f>
        <v>-925.1500000000001</v>
      </c>
      <c r="L19" s="50">
        <f>F19/358.81*100</f>
        <v>-157.83841030071625</v>
      </c>
      <c r="M19" s="35">
        <f>E19</f>
        <v>0</v>
      </c>
      <c r="N19" s="35">
        <f t="shared" si="6"/>
        <v>-566.34</v>
      </c>
      <c r="O19" s="47">
        <f t="shared" si="3"/>
        <v>-566.34</v>
      </c>
      <c r="P19" s="50" t="e">
        <f t="shared" si="5"/>
        <v>#DIV/0!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7"/>
        <v>#DIV/0!</v>
      </c>
      <c r="K20" s="50">
        <f aca="true" t="shared" si="8" ref="K20:K28">F20-194.7</f>
        <v>-194.7</v>
      </c>
      <c r="L20" s="50">
        <f aca="true" t="shared" si="9" ref="L20:L28">F20/194.7*100</f>
        <v>0</v>
      </c>
      <c r="M20" s="35">
        <f>E20-'січень '!M20</f>
        <v>0</v>
      </c>
      <c r="N20" s="35">
        <f t="shared" si="6"/>
        <v>0</v>
      </c>
      <c r="O20" s="47">
        <f t="shared" si="3"/>
        <v>0</v>
      </c>
      <c r="P20" s="50" t="e">
        <f t="shared" si="5"/>
        <v>#DIV/0!</v>
      </c>
      <c r="Q20" s="50">
        <f aca="true" t="shared" si="10" ref="Q20:Q28">N20-194.7</f>
        <v>-194.7</v>
      </c>
      <c r="R20" s="126">
        <f aca="true" t="shared" si="11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7"/>
        <v>#DIV/0!</v>
      </c>
      <c r="K21" s="50">
        <f t="shared" si="8"/>
        <v>-194.7</v>
      </c>
      <c r="L21" s="50">
        <f t="shared" si="9"/>
        <v>0</v>
      </c>
      <c r="M21" s="35">
        <f>E21-'січень '!M21</f>
        <v>0</v>
      </c>
      <c r="N21" s="35">
        <f t="shared" si="6"/>
        <v>0</v>
      </c>
      <c r="O21" s="47">
        <f t="shared" si="3"/>
        <v>0</v>
      </c>
      <c r="P21" s="50" t="e">
        <f t="shared" si="5"/>
        <v>#DIV/0!</v>
      </c>
      <c r="Q21" s="50">
        <f t="shared" si="10"/>
        <v>-194.7</v>
      </c>
      <c r="R21" s="126">
        <f t="shared" si="11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7"/>
        <v>#DIV/0!</v>
      </c>
      <c r="K22" s="50">
        <f t="shared" si="8"/>
        <v>-194.7</v>
      </c>
      <c r="L22" s="50">
        <f t="shared" si="9"/>
        <v>0</v>
      </c>
      <c r="M22" s="35">
        <f>E22-'січень '!M22</f>
        <v>0</v>
      </c>
      <c r="N22" s="35">
        <f t="shared" si="6"/>
        <v>0</v>
      </c>
      <c r="O22" s="47">
        <f t="shared" si="3"/>
        <v>0</v>
      </c>
      <c r="P22" s="50" t="e">
        <f t="shared" si="5"/>
        <v>#DIV/0!</v>
      </c>
      <c r="Q22" s="50">
        <f t="shared" si="10"/>
        <v>-194.7</v>
      </c>
      <c r="R22" s="126">
        <f t="shared" si="11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7"/>
        <v>#DIV/0!</v>
      </c>
      <c r="K23" s="50">
        <f t="shared" si="8"/>
        <v>-194.7</v>
      </c>
      <c r="L23" s="50">
        <f t="shared" si="9"/>
        <v>0</v>
      </c>
      <c r="M23" s="35">
        <f>E23-'січень '!M23</f>
        <v>0</v>
      </c>
      <c r="N23" s="35">
        <f t="shared" si="6"/>
        <v>0</v>
      </c>
      <c r="O23" s="47">
        <f t="shared" si="3"/>
        <v>0</v>
      </c>
      <c r="P23" s="50" t="e">
        <f t="shared" si="5"/>
        <v>#DIV/0!</v>
      </c>
      <c r="Q23" s="50">
        <f t="shared" si="10"/>
        <v>-194.7</v>
      </c>
      <c r="R23" s="126">
        <f t="shared" si="11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7"/>
        <v>#DIV/0!</v>
      </c>
      <c r="K24" s="50">
        <f t="shared" si="8"/>
        <v>-194.7</v>
      </c>
      <c r="L24" s="50">
        <f t="shared" si="9"/>
        <v>0</v>
      </c>
      <c r="M24" s="35">
        <f>E24-'січень '!M24</f>
        <v>0</v>
      </c>
      <c r="N24" s="35">
        <f t="shared" si="6"/>
        <v>0</v>
      </c>
      <c r="O24" s="47">
        <f t="shared" si="3"/>
        <v>0</v>
      </c>
      <c r="P24" s="50" t="e">
        <f t="shared" si="5"/>
        <v>#DIV/0!</v>
      </c>
      <c r="Q24" s="50">
        <f t="shared" si="10"/>
        <v>-194.7</v>
      </c>
      <c r="R24" s="126">
        <f t="shared" si="11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7"/>
        <v>#DIV/0!</v>
      </c>
      <c r="K25" s="50">
        <f t="shared" si="8"/>
        <v>-194.7</v>
      </c>
      <c r="L25" s="50">
        <f t="shared" si="9"/>
        <v>0</v>
      </c>
      <c r="M25" s="35">
        <f>E25-'січень '!M25</f>
        <v>0</v>
      </c>
      <c r="N25" s="35">
        <f t="shared" si="6"/>
        <v>0</v>
      </c>
      <c r="O25" s="47">
        <f t="shared" si="3"/>
        <v>0</v>
      </c>
      <c r="P25" s="50" t="e">
        <f t="shared" si="5"/>
        <v>#DIV/0!</v>
      </c>
      <c r="Q25" s="50">
        <f t="shared" si="10"/>
        <v>-194.7</v>
      </c>
      <c r="R25" s="126">
        <f t="shared" si="11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7"/>
        <v>#DIV/0!</v>
      </c>
      <c r="K26" s="50">
        <f t="shared" si="8"/>
        <v>-194.7</v>
      </c>
      <c r="L26" s="50">
        <f t="shared" si="9"/>
        <v>0</v>
      </c>
      <c r="M26" s="35">
        <f>E26-'січень '!M26</f>
        <v>0</v>
      </c>
      <c r="N26" s="35">
        <f t="shared" si="6"/>
        <v>0</v>
      </c>
      <c r="O26" s="47">
        <f t="shared" si="3"/>
        <v>0</v>
      </c>
      <c r="P26" s="50" t="e">
        <f t="shared" si="5"/>
        <v>#DIV/0!</v>
      </c>
      <c r="Q26" s="50">
        <f t="shared" si="10"/>
        <v>-194.7</v>
      </c>
      <c r="R26" s="126">
        <f t="shared" si="11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7"/>
        <v>#DIV/0!</v>
      </c>
      <c r="K27" s="50">
        <f t="shared" si="8"/>
        <v>-194.7</v>
      </c>
      <c r="L27" s="50">
        <f t="shared" si="9"/>
        <v>0</v>
      </c>
      <c r="M27" s="35">
        <f>E27-'січень '!M27</f>
        <v>0</v>
      </c>
      <c r="N27" s="35">
        <f t="shared" si="6"/>
        <v>0</v>
      </c>
      <c r="O27" s="47">
        <f t="shared" si="3"/>
        <v>0</v>
      </c>
      <c r="P27" s="50" t="e">
        <f t="shared" si="5"/>
        <v>#DIV/0!</v>
      </c>
      <c r="Q27" s="50">
        <f t="shared" si="10"/>
        <v>-194.7</v>
      </c>
      <c r="R27" s="126">
        <f t="shared" si="11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7"/>
        <v>#DIV/0!</v>
      </c>
      <c r="K28" s="50">
        <f t="shared" si="8"/>
        <v>-194.7</v>
      </c>
      <c r="L28" s="50">
        <f t="shared" si="9"/>
        <v>0</v>
      </c>
      <c r="M28" s="35">
        <f>E28-'січень '!M28</f>
        <v>0</v>
      </c>
      <c r="N28" s="35">
        <f t="shared" si="6"/>
        <v>0</v>
      </c>
      <c r="O28" s="47">
        <f t="shared" si="3"/>
        <v>0</v>
      </c>
      <c r="P28" s="50" t="e">
        <f t="shared" si="5"/>
        <v>#DIV/0!</v>
      </c>
      <c r="Q28" s="50">
        <f t="shared" si="10"/>
        <v>-194.7</v>
      </c>
      <c r="R28" s="126">
        <f t="shared" si="11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-438.35</v>
      </c>
      <c r="G29" s="43">
        <f t="shared" si="0"/>
        <v>-438.35</v>
      </c>
      <c r="H29" s="35"/>
      <c r="I29" s="50">
        <f t="shared" si="1"/>
        <v>-438.35</v>
      </c>
      <c r="J29" s="136"/>
      <c r="K29" s="136">
        <f>F29-358.79</f>
        <v>-797.1400000000001</v>
      </c>
      <c r="L29" s="136">
        <f>F29/358.79*100</f>
        <v>-122.17453106273865</v>
      </c>
      <c r="M29" s="137">
        <v>0</v>
      </c>
      <c r="N29" s="35">
        <f t="shared" si="6"/>
        <v>-438.35</v>
      </c>
      <c r="O29" s="138">
        <f t="shared" si="3"/>
        <v>-438.35</v>
      </c>
      <c r="P29" s="50" t="e">
        <f t="shared" si="5"/>
        <v>#DIV/0!</v>
      </c>
      <c r="Q29" s="136">
        <f>N29-358.81</f>
        <v>-797.1600000000001</v>
      </c>
      <c r="R29" s="141">
        <f>N29/358.79</f>
        <v>-1.2217453106273866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0</v>
      </c>
      <c r="F30" s="143">
        <v>0.12</v>
      </c>
      <c r="G30" s="43">
        <f t="shared" si="0"/>
        <v>0.12</v>
      </c>
      <c r="H30" s="35" t="e">
        <f t="shared" si="4"/>
        <v>#DIV/0!</v>
      </c>
      <c r="I30" s="50">
        <f t="shared" si="1"/>
        <v>-18.88</v>
      </c>
      <c r="J30" s="50"/>
      <c r="K30" s="50">
        <f>F30-0</f>
        <v>0.12</v>
      </c>
      <c r="L30" s="50"/>
      <c r="M30" s="35">
        <f>E30-'січень '!M30</f>
        <v>0</v>
      </c>
      <c r="N30" s="35">
        <f t="shared" si="6"/>
        <v>0.12</v>
      </c>
      <c r="O30" s="47">
        <f t="shared" si="3"/>
        <v>0.12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/>
      <c r="L31" s="50">
        <f>F31</f>
        <v>0</v>
      </c>
      <c r="M31" s="35">
        <f>E31-'січень '!M31</f>
        <v>0</v>
      </c>
      <c r="N31" s="35">
        <f t="shared" si="6"/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/>
      <c r="L32" s="50">
        <f>F32</f>
        <v>0</v>
      </c>
      <c r="M32" s="35">
        <f>E32-'січень '!M32</f>
        <v>0</v>
      </c>
      <c r="N32" s="35">
        <f t="shared" si="6"/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0</v>
      </c>
      <c r="F33" s="168">
        <v>0</v>
      </c>
      <c r="G33" s="43">
        <f t="shared" si="0"/>
        <v>0</v>
      </c>
      <c r="H33" s="35" t="e">
        <f t="shared" si="4"/>
        <v>#DIV/0!</v>
      </c>
      <c r="I33" s="50">
        <f t="shared" si="1"/>
        <v>-29950</v>
      </c>
      <c r="J33" s="136">
        <f>F33/D33*100</f>
        <v>0</v>
      </c>
      <c r="K33" s="136">
        <f>F33-4687.91</f>
        <v>-4687.91</v>
      </c>
      <c r="L33" s="136">
        <f>F33/4687.91*100</f>
        <v>0</v>
      </c>
      <c r="M33" s="35">
        <f>E33</f>
        <v>0</v>
      </c>
      <c r="N33" s="35">
        <f t="shared" si="6"/>
        <v>0</v>
      </c>
      <c r="O33" s="47">
        <f t="shared" si="3"/>
        <v>0</v>
      </c>
      <c r="P33" s="50" t="e">
        <f t="shared" si="5"/>
        <v>#DIV/0!</v>
      </c>
      <c r="Q33" s="139"/>
      <c r="R33" s="140"/>
    </row>
    <row r="34" spans="1:18" s="6" customFormat="1" ht="15.75">
      <c r="A34" s="8"/>
      <c r="B34" s="11" t="s">
        <v>207</v>
      </c>
      <c r="C34" s="59">
        <v>18000000</v>
      </c>
      <c r="D34" s="43">
        <f>D35+D39+D41</f>
        <v>166770</v>
      </c>
      <c r="E34" s="43">
        <f>E35+E39+E41</f>
        <v>14036.5</v>
      </c>
      <c r="F34" s="169">
        <f>F35+F39+F41+F40</f>
        <v>15062.269999999999</v>
      </c>
      <c r="G34" s="43">
        <f t="shared" si="0"/>
        <v>1025.7699999999986</v>
      </c>
      <c r="H34" s="35">
        <f t="shared" si="4"/>
        <v>107.30787589498804</v>
      </c>
      <c r="I34" s="50">
        <f t="shared" si="1"/>
        <v>-151707.73</v>
      </c>
      <c r="J34" s="136"/>
      <c r="K34" s="136"/>
      <c r="L34" s="136"/>
      <c r="M34" s="35">
        <f>E34</f>
        <v>14036.5</v>
      </c>
      <c r="N34" s="35">
        <f t="shared" si="6"/>
        <v>15062.269999999999</v>
      </c>
      <c r="O34" s="47">
        <f t="shared" si="3"/>
        <v>1025.7699999999986</v>
      </c>
      <c r="P34" s="50">
        <f t="shared" si="5"/>
        <v>107.30787589498804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6534.5</v>
      </c>
      <c r="F35" s="169">
        <f>F36+F37+F38</f>
        <v>6582.68</v>
      </c>
      <c r="G35" s="43">
        <f t="shared" si="0"/>
        <v>48.18000000000029</v>
      </c>
      <c r="H35" s="35">
        <f t="shared" si="4"/>
        <v>100.73731731578546</v>
      </c>
      <c r="I35" s="50">
        <f t="shared" si="1"/>
        <v>-91617.32</v>
      </c>
      <c r="J35" s="136"/>
      <c r="K35" s="136"/>
      <c r="L35" s="136"/>
      <c r="M35" s="35">
        <f aca="true" t="shared" si="12" ref="M35:M42">E35</f>
        <v>6534.5</v>
      </c>
      <c r="N35" s="35">
        <f t="shared" si="6"/>
        <v>6582.68</v>
      </c>
      <c r="O35" s="47">
        <f t="shared" si="3"/>
        <v>48.18000000000029</v>
      </c>
      <c r="P35" s="50">
        <f t="shared" si="5"/>
        <v>100.73731731578546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84.5</v>
      </c>
      <c r="F36" s="144">
        <f>'січень '!F118</f>
        <v>84.67</v>
      </c>
      <c r="G36" s="43">
        <f t="shared" si="0"/>
        <v>0.1700000000000017</v>
      </c>
      <c r="H36" s="35">
        <f t="shared" si="4"/>
        <v>100.20118343195266</v>
      </c>
      <c r="I36" s="50">
        <f t="shared" si="1"/>
        <v>-915.33</v>
      </c>
      <c r="J36" s="136"/>
      <c r="K36" s="136"/>
      <c r="L36" s="136"/>
      <c r="M36" s="137">
        <f t="shared" si="12"/>
        <v>84.5</v>
      </c>
      <c r="N36" s="137">
        <f t="shared" si="6"/>
        <v>84.67</v>
      </c>
      <c r="O36" s="47">
        <f t="shared" si="3"/>
        <v>0.1700000000000017</v>
      </c>
      <c r="P36" s="50">
        <f t="shared" si="5"/>
        <v>100.20118343195266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0</v>
      </c>
      <c r="G37" s="43">
        <f t="shared" si="0"/>
        <v>0</v>
      </c>
      <c r="H37" s="35"/>
      <c r="I37" s="50">
        <f t="shared" si="1"/>
        <v>-1500</v>
      </c>
      <c r="J37" s="136"/>
      <c r="K37" s="136"/>
      <c r="L37" s="136"/>
      <c r="M37" s="137">
        <f t="shared" si="12"/>
        <v>0</v>
      </c>
      <c r="N37" s="137">
        <f t="shared" si="6"/>
        <v>0</v>
      </c>
      <c r="O37" s="47">
        <f t="shared" si="3"/>
        <v>0</v>
      </c>
      <c r="P37" s="50" t="e">
        <f t="shared" si="5"/>
        <v>#DIV/0!</v>
      </c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6450</v>
      </c>
      <c r="F38" s="144">
        <f>'січень '!F33</f>
        <v>6498.01</v>
      </c>
      <c r="G38" s="43">
        <f t="shared" si="0"/>
        <v>48.01000000000022</v>
      </c>
      <c r="H38" s="35">
        <f t="shared" si="4"/>
        <v>100.74434108527133</v>
      </c>
      <c r="I38" s="50">
        <f t="shared" si="1"/>
        <v>-89201.99</v>
      </c>
      <c r="J38" s="136"/>
      <c r="K38" s="136"/>
      <c r="L38" s="136"/>
      <c r="M38" s="137">
        <f t="shared" si="12"/>
        <v>6450</v>
      </c>
      <c r="N38" s="137">
        <f t="shared" si="6"/>
        <v>6498.01</v>
      </c>
      <c r="O38" s="47">
        <f t="shared" si="3"/>
        <v>48.01000000000022</v>
      </c>
      <c r="P38" s="50">
        <f t="shared" si="5"/>
        <v>100.74434108527133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2</v>
      </c>
      <c r="F39" s="168">
        <v>2.4</v>
      </c>
      <c r="G39" s="43">
        <f t="shared" si="0"/>
        <v>0.3999999999999999</v>
      </c>
      <c r="H39" s="35">
        <f t="shared" si="4"/>
        <v>120</v>
      </c>
      <c r="I39" s="50">
        <f t="shared" si="1"/>
        <v>-67.6</v>
      </c>
      <c r="J39" s="136"/>
      <c r="K39" s="136"/>
      <c r="L39" s="136"/>
      <c r="M39" s="35">
        <f t="shared" si="12"/>
        <v>2</v>
      </c>
      <c r="N39" s="35">
        <f t="shared" si="6"/>
        <v>2.4</v>
      </c>
      <c r="O39" s="47">
        <f t="shared" si="3"/>
        <v>0.3999999999999999</v>
      </c>
      <c r="P39" s="50">
        <f t="shared" si="5"/>
        <v>120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142.71</v>
      </c>
      <c r="G40" s="43">
        <f t="shared" si="0"/>
        <v>142.71</v>
      </c>
      <c r="H40" s="35"/>
      <c r="I40" s="50">
        <f t="shared" si="1"/>
        <v>142.71</v>
      </c>
      <c r="J40" s="136"/>
      <c r="K40" s="136"/>
      <c r="L40" s="136"/>
      <c r="M40" s="35">
        <f t="shared" si="12"/>
        <v>0</v>
      </c>
      <c r="N40" s="35">
        <f t="shared" si="6"/>
        <v>142.71</v>
      </c>
      <c r="O40" s="47">
        <f t="shared" si="3"/>
        <v>142.71</v>
      </c>
      <c r="P40" s="50" t="e">
        <f t="shared" si="5"/>
        <v>#DIV/0!</v>
      </c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7500</v>
      </c>
      <c r="F41" s="168">
        <v>8334.48</v>
      </c>
      <c r="G41" s="43">
        <f t="shared" si="0"/>
        <v>834.4799999999996</v>
      </c>
      <c r="H41" s="35">
        <f t="shared" si="4"/>
        <v>111.1264</v>
      </c>
      <c r="I41" s="50">
        <f t="shared" si="1"/>
        <v>-60165.520000000004</v>
      </c>
      <c r="J41" s="136"/>
      <c r="K41" s="136"/>
      <c r="L41" s="136"/>
      <c r="M41" s="35">
        <f t="shared" si="12"/>
        <v>7500</v>
      </c>
      <c r="N41" s="35">
        <f t="shared" si="6"/>
        <v>8334.48</v>
      </c>
      <c r="O41" s="47">
        <f t="shared" si="3"/>
        <v>834.4799999999996</v>
      </c>
      <c r="P41" s="50">
        <f t="shared" si="5"/>
        <v>111.1264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10</v>
      </c>
      <c r="F42" s="168">
        <v>8.89</v>
      </c>
      <c r="G42" s="43">
        <f t="shared" si="0"/>
        <v>-1.1099999999999994</v>
      </c>
      <c r="H42" s="35">
        <f t="shared" si="4"/>
        <v>88.9</v>
      </c>
      <c r="I42" s="50">
        <f t="shared" si="1"/>
        <v>-7491.11</v>
      </c>
      <c r="J42" s="136"/>
      <c r="K42" s="136"/>
      <c r="L42" s="136"/>
      <c r="M42" s="35">
        <f t="shared" si="12"/>
        <v>10</v>
      </c>
      <c r="N42" s="35">
        <f t="shared" si="6"/>
        <v>8.89</v>
      </c>
      <c r="O42" s="47">
        <f t="shared" si="3"/>
        <v>-1.1099999999999994</v>
      </c>
      <c r="P42" s="50">
        <f t="shared" si="5"/>
        <v>88.9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 t="shared" si="0"/>
        <v>0</v>
      </c>
      <c r="H43" s="35" t="e">
        <f>F43/E43*100</f>
        <v>#DIV/0!</v>
      </c>
      <c r="I43" s="50">
        <f t="shared" si="1"/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 t="shared" si="5"/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 t="shared" si="0"/>
        <v>0</v>
      </c>
      <c r="H44" s="35" t="e">
        <f>F44/E44*100</f>
        <v>#DIV/0!</v>
      </c>
      <c r="I44" s="50">
        <f t="shared" si="1"/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 t="shared" si="5"/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 t="shared" si="0"/>
        <v>0</v>
      </c>
      <c r="H45" s="35" t="e">
        <f>F45/E45*100</f>
        <v>#DIV/0!</v>
      </c>
      <c r="I45" s="50">
        <f t="shared" si="1"/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 t="shared" si="5"/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 t="shared" si="0"/>
        <v>0</v>
      </c>
      <c r="H46" s="35" t="e">
        <f>F46/E46*100</f>
        <v>#DIV/0!</v>
      </c>
      <c r="I46" s="50">
        <f t="shared" si="1"/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 t="shared" si="3"/>
        <v>#REF!</v>
      </c>
      <c r="P46" s="50" t="e">
        <f t="shared" si="5"/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 t="e">
        <f t="shared" si="5"/>
        <v>#REF!</v>
      </c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D51+D60+D61+D62+D63+D69+D70+D71+D73+D77</f>
        <v>12567.1</v>
      </c>
      <c r="E48" s="18">
        <f>E51+E60+E61+E62+E63+E69+E70+E71+E73+E77</f>
        <v>1040</v>
      </c>
      <c r="F48" s="18">
        <f>F51+F60+F61+F62+F63+F69+F70+F71+F73+F77</f>
        <v>1022.3800000000001</v>
      </c>
      <c r="G48" s="44">
        <f aca="true" t="shared" si="13" ref="G48:G79">F48-E48</f>
        <v>-17.61999999999989</v>
      </c>
      <c r="H48" s="45">
        <f aca="true" t="shared" si="14" ref="H48:H59">F48/E48*100</f>
        <v>98.30576923076924</v>
      </c>
      <c r="I48" s="31">
        <f aca="true" t="shared" si="15" ref="I48:I82">F48-D48</f>
        <v>-11544.720000000001</v>
      </c>
      <c r="J48" s="31">
        <f aca="true" t="shared" si="16" ref="J48:J66">F48/D48*100</f>
        <v>8.135369337396854</v>
      </c>
      <c r="K48" s="31">
        <f>F48-1017.6</f>
        <v>4.780000000000086</v>
      </c>
      <c r="L48" s="31">
        <f>F48/1017.6*100</f>
        <v>100.46973270440252</v>
      </c>
      <c r="M48" s="18">
        <f>M51+M60+M61+M62+M63+M69+M70+M71+M73+M77</f>
        <v>1040</v>
      </c>
      <c r="N48" s="18">
        <f>N51+N60+N61+N62+N63+N69+N70+N71+N73+N77</f>
        <v>1022.3800000000001</v>
      </c>
      <c r="O48" s="49">
        <f aca="true" t="shared" si="17" ref="O48:O66">N48-M48</f>
        <v>-17.61999999999989</v>
      </c>
      <c r="P48" s="31">
        <f>N48/M48*100</f>
        <v>98.30576923076924</v>
      </c>
      <c r="Q48" s="31">
        <f>N48-1017.63</f>
        <v>4.750000000000114</v>
      </c>
      <c r="R48" s="127">
        <f>N48/1017.63</f>
        <v>1.0046677083026248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3"/>
        <v>#REF!</v>
      </c>
      <c r="H49" s="35" t="e">
        <f t="shared" si="14"/>
        <v>#REF!</v>
      </c>
      <c r="I49" s="50" t="e">
        <f t="shared" si="15"/>
        <v>#REF!</v>
      </c>
      <c r="J49" s="50" t="e">
        <f t="shared" si="16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7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3"/>
        <v>0</v>
      </c>
      <c r="H50" s="35" t="e">
        <f t="shared" si="14"/>
        <v>#DIV/0!</v>
      </c>
      <c r="I50" s="50" t="e">
        <f t="shared" si="15"/>
        <v>#REF!</v>
      </c>
      <c r="J50" s="50" t="e">
        <f t="shared" si="16"/>
        <v>#REF!</v>
      </c>
      <c r="K50" s="50"/>
      <c r="L50" s="50"/>
      <c r="M50" s="52"/>
      <c r="N50" s="52"/>
      <c r="O50" s="47">
        <f t="shared" si="17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5</v>
      </c>
      <c r="F51" s="143">
        <v>0</v>
      </c>
      <c r="G51" s="43">
        <f t="shared" si="13"/>
        <v>-5</v>
      </c>
      <c r="H51" s="35">
        <f t="shared" si="14"/>
        <v>0</v>
      </c>
      <c r="I51" s="50">
        <f t="shared" si="15"/>
        <v>-200</v>
      </c>
      <c r="J51" s="50">
        <f t="shared" si="16"/>
        <v>0</v>
      </c>
      <c r="K51" s="50">
        <f>F51-0</f>
        <v>0</v>
      </c>
      <c r="L51" s="50" t="e">
        <f>F51/0*100</f>
        <v>#DIV/0!</v>
      </c>
      <c r="M51" s="35">
        <f>E51</f>
        <v>5</v>
      </c>
      <c r="N51" s="35">
        <f>F51</f>
        <v>0</v>
      </c>
      <c r="O51" s="47">
        <f t="shared" si="17"/>
        <v>-5</v>
      </c>
      <c r="P51" s="50">
        <f aca="true" t="shared" si="18" ref="P51:P60">N51/M51*100</f>
        <v>0</v>
      </c>
      <c r="Q51" s="50">
        <f>N51-0</f>
        <v>0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3"/>
        <v>0</v>
      </c>
      <c r="H52" s="35" t="e">
        <f t="shared" si="14"/>
        <v>#DIV/0!</v>
      </c>
      <c r="I52" s="50">
        <f t="shared" si="15"/>
        <v>0</v>
      </c>
      <c r="J52" s="50" t="e">
        <f t="shared" si="16"/>
        <v>#DIV/0!</v>
      </c>
      <c r="K52" s="50"/>
      <c r="L52" s="50">
        <f aca="true" t="shared" si="19" ref="L52:L75">F52</f>
        <v>0</v>
      </c>
      <c r="M52" s="35">
        <f aca="true" t="shared" si="20" ref="M52:M79">E52</f>
        <v>0</v>
      </c>
      <c r="N52" s="35">
        <f aca="true" t="shared" si="21" ref="N52:N79">F52</f>
        <v>0</v>
      </c>
      <c r="O52" s="47">
        <f t="shared" si="17"/>
        <v>0</v>
      </c>
      <c r="P52" s="50" t="e">
        <f t="shared" si="18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3"/>
        <v>0</v>
      </c>
      <c r="H53" s="35" t="e">
        <f t="shared" si="14"/>
        <v>#DIV/0!</v>
      </c>
      <c r="I53" s="50">
        <f t="shared" si="15"/>
        <v>0</v>
      </c>
      <c r="J53" s="50" t="e">
        <f t="shared" si="16"/>
        <v>#DIV/0!</v>
      </c>
      <c r="K53" s="50"/>
      <c r="L53" s="50">
        <f t="shared" si="19"/>
        <v>0</v>
      </c>
      <c r="M53" s="35">
        <f t="shared" si="20"/>
        <v>0</v>
      </c>
      <c r="N53" s="35">
        <f t="shared" si="21"/>
        <v>0</v>
      </c>
      <c r="O53" s="47">
        <f t="shared" si="17"/>
        <v>0</v>
      </c>
      <c r="P53" s="50" t="e">
        <f t="shared" si="18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3"/>
        <v>0</v>
      </c>
      <c r="H54" s="35" t="e">
        <f t="shared" si="14"/>
        <v>#DIV/0!</v>
      </c>
      <c r="I54" s="50">
        <f t="shared" si="15"/>
        <v>0</v>
      </c>
      <c r="J54" s="50" t="e">
        <f t="shared" si="16"/>
        <v>#DIV/0!</v>
      </c>
      <c r="K54" s="50"/>
      <c r="L54" s="50">
        <f t="shared" si="19"/>
        <v>0</v>
      </c>
      <c r="M54" s="35">
        <f t="shared" si="20"/>
        <v>0</v>
      </c>
      <c r="N54" s="35">
        <f t="shared" si="21"/>
        <v>0</v>
      </c>
      <c r="O54" s="47">
        <f t="shared" si="17"/>
        <v>0</v>
      </c>
      <c r="P54" s="50" t="e">
        <f t="shared" si="18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3"/>
        <v>0</v>
      </c>
      <c r="H55" s="35" t="e">
        <f t="shared" si="14"/>
        <v>#DIV/0!</v>
      </c>
      <c r="I55" s="50">
        <f t="shared" si="15"/>
        <v>0</v>
      </c>
      <c r="J55" s="50" t="e">
        <f t="shared" si="16"/>
        <v>#DIV/0!</v>
      </c>
      <c r="K55" s="50"/>
      <c r="L55" s="50">
        <f t="shared" si="19"/>
        <v>0</v>
      </c>
      <c r="M55" s="35">
        <f t="shared" si="20"/>
        <v>0</v>
      </c>
      <c r="N55" s="35">
        <f t="shared" si="21"/>
        <v>0</v>
      </c>
      <c r="O55" s="47">
        <f t="shared" si="17"/>
        <v>0</v>
      </c>
      <c r="P55" s="50" t="e">
        <f t="shared" si="18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3"/>
        <v>0</v>
      </c>
      <c r="H56" s="35" t="e">
        <f t="shared" si="14"/>
        <v>#DIV/0!</v>
      </c>
      <c r="I56" s="50">
        <f t="shared" si="15"/>
        <v>0</v>
      </c>
      <c r="J56" s="50" t="e">
        <f t="shared" si="16"/>
        <v>#DIV/0!</v>
      </c>
      <c r="K56" s="50"/>
      <c r="L56" s="50">
        <f t="shared" si="19"/>
        <v>0</v>
      </c>
      <c r="M56" s="35">
        <f t="shared" si="20"/>
        <v>0</v>
      </c>
      <c r="N56" s="35">
        <f t="shared" si="21"/>
        <v>0</v>
      </c>
      <c r="O56" s="47">
        <f t="shared" si="17"/>
        <v>0</v>
      </c>
      <c r="P56" s="50" t="e">
        <f t="shared" si="18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3"/>
        <v>0</v>
      </c>
      <c r="H57" s="35" t="e">
        <f t="shared" si="14"/>
        <v>#DIV/0!</v>
      </c>
      <c r="I57" s="50">
        <f t="shared" si="15"/>
        <v>0</v>
      </c>
      <c r="J57" s="50" t="e">
        <f t="shared" si="16"/>
        <v>#DIV/0!</v>
      </c>
      <c r="K57" s="50"/>
      <c r="L57" s="50">
        <f t="shared" si="19"/>
        <v>0</v>
      </c>
      <c r="M57" s="35">
        <f t="shared" si="20"/>
        <v>0</v>
      </c>
      <c r="N57" s="35">
        <f t="shared" si="21"/>
        <v>0</v>
      </c>
      <c r="O57" s="47">
        <f t="shared" si="17"/>
        <v>0</v>
      </c>
      <c r="P57" s="50" t="e">
        <f t="shared" si="18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3"/>
        <v>0</v>
      </c>
      <c r="H58" s="35" t="e">
        <f t="shared" si="14"/>
        <v>#DIV/0!</v>
      </c>
      <c r="I58" s="50">
        <f t="shared" si="15"/>
        <v>0</v>
      </c>
      <c r="J58" s="50" t="e">
        <f t="shared" si="16"/>
        <v>#DIV/0!</v>
      </c>
      <c r="K58" s="50"/>
      <c r="L58" s="50">
        <f t="shared" si="19"/>
        <v>0</v>
      </c>
      <c r="M58" s="35">
        <f t="shared" si="20"/>
        <v>0</v>
      </c>
      <c r="N58" s="35">
        <f t="shared" si="21"/>
        <v>0</v>
      </c>
      <c r="O58" s="47">
        <f t="shared" si="17"/>
        <v>0</v>
      </c>
      <c r="P58" s="50" t="e">
        <f t="shared" si="18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3"/>
        <v>0</v>
      </c>
      <c r="H59" s="35" t="e">
        <f t="shared" si="14"/>
        <v>#DIV/0!</v>
      </c>
      <c r="I59" s="50">
        <f t="shared" si="15"/>
        <v>0</v>
      </c>
      <c r="J59" s="50" t="e">
        <f t="shared" si="16"/>
        <v>#DIV/0!</v>
      </c>
      <c r="K59" s="50"/>
      <c r="L59" s="50">
        <f t="shared" si="19"/>
        <v>0</v>
      </c>
      <c r="M59" s="35">
        <f t="shared" si="20"/>
        <v>0</v>
      </c>
      <c r="N59" s="35">
        <f t="shared" si="21"/>
        <v>0</v>
      </c>
      <c r="O59" s="47">
        <f t="shared" si="17"/>
        <v>0</v>
      </c>
      <c r="P59" s="50" t="e">
        <f t="shared" si="18"/>
        <v>#DIV/0!</v>
      </c>
      <c r="Q59" s="50"/>
      <c r="R59" s="126"/>
    </row>
    <row r="60" spans="1:18" s="6" customFormat="1" ht="31.5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3"/>
        <v>0</v>
      </c>
      <c r="H60" s="35"/>
      <c r="I60" s="50">
        <f t="shared" si="15"/>
        <v>0</v>
      </c>
      <c r="J60" s="50" t="e">
        <f t="shared" si="16"/>
        <v>#DIV/0!</v>
      </c>
      <c r="K60" s="50">
        <f>F60-0</f>
        <v>0</v>
      </c>
      <c r="L60" s="50" t="e">
        <f>F60/0*100</f>
        <v>#DIV/0!</v>
      </c>
      <c r="M60" s="35">
        <f t="shared" si="20"/>
        <v>0</v>
      </c>
      <c r="N60" s="35">
        <f t="shared" si="21"/>
        <v>0</v>
      </c>
      <c r="O60" s="47">
        <f t="shared" si="17"/>
        <v>0</v>
      </c>
      <c r="P60" s="50" t="e">
        <f t="shared" si="18"/>
        <v>#DIV/0!</v>
      </c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1.67</v>
      </c>
      <c r="G61" s="43">
        <f t="shared" si="13"/>
        <v>1.67</v>
      </c>
      <c r="H61" s="35"/>
      <c r="I61" s="50">
        <f t="shared" si="15"/>
        <v>1.67</v>
      </c>
      <c r="J61" s="50"/>
      <c r="K61" s="50"/>
      <c r="L61" s="50"/>
      <c r="M61" s="35">
        <f t="shared" si="20"/>
        <v>0</v>
      </c>
      <c r="N61" s="35">
        <f t="shared" si="21"/>
        <v>1.67</v>
      </c>
      <c r="O61" s="47"/>
      <c r="P61" s="50"/>
      <c r="Q61" s="50">
        <f>N61-4.23</f>
        <v>-2.5600000000000005</v>
      </c>
      <c r="R61" s="126">
        <f>N61/4.23</f>
        <v>0.3947990543735224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</v>
      </c>
      <c r="F62" s="143">
        <v>0</v>
      </c>
      <c r="G62" s="43">
        <f t="shared" si="13"/>
        <v>0</v>
      </c>
      <c r="H62" s="35" t="e">
        <f>F62/E62*100</f>
        <v>#DIV/0!</v>
      </c>
      <c r="I62" s="50">
        <f t="shared" si="15"/>
        <v>-6.5</v>
      </c>
      <c r="J62" s="50">
        <f t="shared" si="16"/>
        <v>0</v>
      </c>
      <c r="K62" s="50">
        <f>F62-0</f>
        <v>0</v>
      </c>
      <c r="L62" s="50" t="e">
        <f>F62/0*100</f>
        <v>#DIV/0!</v>
      </c>
      <c r="M62" s="35">
        <f t="shared" si="20"/>
        <v>0</v>
      </c>
      <c r="N62" s="35">
        <f t="shared" si="21"/>
        <v>0</v>
      </c>
      <c r="O62" s="47">
        <f t="shared" si="17"/>
        <v>0</v>
      </c>
      <c r="P62" s="50" t="e">
        <f>N62/M62*100</f>
        <v>#DIV/0!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6</v>
      </c>
      <c r="F63" s="143">
        <v>7.6</v>
      </c>
      <c r="G63" s="43">
        <f t="shared" si="13"/>
        <v>1.5999999999999996</v>
      </c>
      <c r="H63" s="35">
        <f>F63/E63*100</f>
        <v>126.66666666666666</v>
      </c>
      <c r="I63" s="50">
        <f t="shared" si="15"/>
        <v>-132.4</v>
      </c>
      <c r="J63" s="50">
        <v>10</v>
      </c>
      <c r="K63" s="50">
        <f>F63-9.02</f>
        <v>-1.42</v>
      </c>
      <c r="L63" s="50">
        <f>F63/9.02*100</f>
        <v>84.25720620842571</v>
      </c>
      <c r="M63" s="35">
        <f t="shared" si="20"/>
        <v>6</v>
      </c>
      <c r="N63" s="35">
        <f t="shared" si="21"/>
        <v>7.6</v>
      </c>
      <c r="O63" s="47">
        <f t="shared" si="17"/>
        <v>1.5999999999999996</v>
      </c>
      <c r="P63" s="50">
        <f>N63/M63*100</f>
        <v>126.66666666666666</v>
      </c>
      <c r="Q63" s="50">
        <f>N63-9.02</f>
        <v>-1.42</v>
      </c>
      <c r="R63" s="126">
        <f>N63/9.02</f>
        <v>0.8425720620842572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3"/>
        <v>0</v>
      </c>
      <c r="H64" s="35" t="e">
        <f>F64/E64*100</f>
        <v>#DIV/0!</v>
      </c>
      <c r="I64" s="50">
        <f t="shared" si="15"/>
        <v>0</v>
      </c>
      <c r="J64" s="50" t="e">
        <f t="shared" si="16"/>
        <v>#DIV/0!</v>
      </c>
      <c r="K64" s="50"/>
      <c r="L64" s="50">
        <f t="shared" si="19"/>
        <v>0</v>
      </c>
      <c r="M64" s="35">
        <f t="shared" si="20"/>
        <v>0</v>
      </c>
      <c r="N64" s="35">
        <f t="shared" si="21"/>
        <v>0</v>
      </c>
      <c r="O64" s="47">
        <f t="shared" si="17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3"/>
        <v>0</v>
      </c>
      <c r="H65" s="35" t="e">
        <f>F65/E65*100</f>
        <v>#DIV/0!</v>
      </c>
      <c r="I65" s="50">
        <f t="shared" si="15"/>
        <v>0</v>
      </c>
      <c r="J65" s="50" t="e">
        <f t="shared" si="16"/>
        <v>#DIV/0!</v>
      </c>
      <c r="K65" s="50"/>
      <c r="L65" s="50">
        <f t="shared" si="19"/>
        <v>0</v>
      </c>
      <c r="M65" s="35">
        <f t="shared" si="20"/>
        <v>0</v>
      </c>
      <c r="N65" s="35">
        <f t="shared" si="21"/>
        <v>0</v>
      </c>
      <c r="O65" s="47">
        <f t="shared" si="17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3"/>
        <v>0</v>
      </c>
      <c r="H66" s="35" t="e">
        <f>F66/E66*100</f>
        <v>#DIV/0!</v>
      </c>
      <c r="I66" s="50">
        <f t="shared" si="15"/>
        <v>0</v>
      </c>
      <c r="J66" s="50" t="e">
        <f t="shared" si="16"/>
        <v>#DIV/0!</v>
      </c>
      <c r="K66" s="50"/>
      <c r="L66" s="50">
        <f t="shared" si="19"/>
        <v>0</v>
      </c>
      <c r="M66" s="35">
        <f t="shared" si="20"/>
        <v>0</v>
      </c>
      <c r="N66" s="35">
        <f t="shared" si="21"/>
        <v>0</v>
      </c>
      <c r="O66" s="47">
        <f t="shared" si="17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3"/>
        <v>0</v>
      </c>
      <c r="H67" s="35"/>
      <c r="I67" s="50">
        <f t="shared" si="15"/>
        <v>0</v>
      </c>
      <c r="J67" s="50"/>
      <c r="K67" s="50"/>
      <c r="L67" s="50">
        <f t="shared" si="19"/>
        <v>0</v>
      </c>
      <c r="M67" s="35">
        <f t="shared" si="20"/>
        <v>0</v>
      </c>
      <c r="N67" s="35">
        <f t="shared" si="21"/>
        <v>0</v>
      </c>
      <c r="O67" s="47"/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3"/>
        <v>0</v>
      </c>
      <c r="H68" s="35"/>
      <c r="I68" s="50">
        <f t="shared" si="15"/>
        <v>0</v>
      </c>
      <c r="J68" s="50"/>
      <c r="K68" s="50"/>
      <c r="L68" s="50">
        <f t="shared" si="19"/>
        <v>0</v>
      </c>
      <c r="M68" s="35">
        <f t="shared" si="20"/>
        <v>0</v>
      </c>
      <c r="N68" s="35">
        <f t="shared" si="21"/>
        <v>0</v>
      </c>
      <c r="O68" s="47">
        <f aca="true" t="shared" si="22" ref="O68:O75">N68-M68</f>
        <v>0</v>
      </c>
      <c r="P68" s="50"/>
      <c r="Q68" s="50"/>
      <c r="R68" s="126"/>
    </row>
    <row r="69" spans="1:18" s="6" customFormat="1" ht="31.5">
      <c r="A69" s="8"/>
      <c r="B69" s="15" t="s">
        <v>78</v>
      </c>
      <c r="C69" s="67">
        <v>22080401</v>
      </c>
      <c r="D69" s="36">
        <v>6900</v>
      </c>
      <c r="E69" s="36">
        <v>690</v>
      </c>
      <c r="F69" s="143">
        <f>'січень '!F95</f>
        <v>690.7</v>
      </c>
      <c r="G69" s="43">
        <f t="shared" si="13"/>
        <v>0.7000000000000455</v>
      </c>
      <c r="H69" s="35">
        <f>F69/E69*100</f>
        <v>100.10144927536233</v>
      </c>
      <c r="I69" s="50">
        <f t="shared" si="15"/>
        <v>-6209.3</v>
      </c>
      <c r="J69" s="50">
        <v>550</v>
      </c>
      <c r="K69" s="50">
        <f>F69-647.49</f>
        <v>43.210000000000036</v>
      </c>
      <c r="L69" s="50">
        <f>F69/647.49*100</f>
        <v>106.6734621384114</v>
      </c>
      <c r="M69" s="35">
        <f t="shared" si="20"/>
        <v>690</v>
      </c>
      <c r="N69" s="35">
        <f t="shared" si="21"/>
        <v>690.7</v>
      </c>
      <c r="O69" s="47">
        <f t="shared" si="22"/>
        <v>0.7000000000000455</v>
      </c>
      <c r="P69" s="50">
        <f>N69/M69*100</f>
        <v>100.10144927536233</v>
      </c>
      <c r="Q69" s="50">
        <f>N69-647.49</f>
        <v>43.210000000000036</v>
      </c>
      <c r="R69" s="126">
        <f>N69/647.49</f>
        <v>1.066734621384114</v>
      </c>
    </row>
    <row r="70" spans="1:18" s="6" customFormat="1" ht="15.75">
      <c r="A70" s="8"/>
      <c r="B70" s="15" t="s">
        <v>80</v>
      </c>
      <c r="C70" s="59">
        <v>22090000</v>
      </c>
      <c r="D70" s="36">
        <v>1100</v>
      </c>
      <c r="E70" s="36">
        <v>59</v>
      </c>
      <c r="F70" s="143">
        <f>'січень '!F96</f>
        <v>59.21</v>
      </c>
      <c r="G70" s="43">
        <f t="shared" si="13"/>
        <v>0.21000000000000085</v>
      </c>
      <c r="H70" s="35">
        <f>F70/E70*100</f>
        <v>100.35593220338983</v>
      </c>
      <c r="I70" s="50">
        <f t="shared" si="15"/>
        <v>-1040.79</v>
      </c>
      <c r="J70" s="50">
        <v>90</v>
      </c>
      <c r="K70" s="50">
        <f>F70-79.51</f>
        <v>-20.300000000000004</v>
      </c>
      <c r="L70" s="50">
        <f>F70/79.51*100</f>
        <v>74.46862029933341</v>
      </c>
      <c r="M70" s="35">
        <f t="shared" si="20"/>
        <v>59</v>
      </c>
      <c r="N70" s="35">
        <f t="shared" si="21"/>
        <v>59.21</v>
      </c>
      <c r="O70" s="47">
        <f t="shared" si="22"/>
        <v>0.21000000000000085</v>
      </c>
      <c r="P70" s="50">
        <f>N70/M70*100</f>
        <v>100.35593220338983</v>
      </c>
      <c r="Q70" s="50">
        <f>N70-79.51</f>
        <v>-20.300000000000004</v>
      </c>
      <c r="R70" s="126">
        <f>N70/79.51</f>
        <v>0.7446862029933341</v>
      </c>
    </row>
    <row r="71" spans="1:18" s="6" customFormat="1" ht="47.25">
      <c r="A71" s="8"/>
      <c r="B71" s="15" t="s">
        <v>96</v>
      </c>
      <c r="C71" s="13" t="s">
        <v>97</v>
      </c>
      <c r="D71" s="36">
        <v>7.6</v>
      </c>
      <c r="E71" s="36">
        <v>0</v>
      </c>
      <c r="F71" s="143">
        <v>0</v>
      </c>
      <c r="G71" s="43">
        <f t="shared" si="13"/>
        <v>0</v>
      </c>
      <c r="H71" s="35"/>
      <c r="I71" s="50">
        <f t="shared" si="15"/>
        <v>-7.6</v>
      </c>
      <c r="J71" s="50"/>
      <c r="K71" s="50"/>
      <c r="L71" s="50"/>
      <c r="M71" s="35">
        <f t="shared" si="20"/>
        <v>0</v>
      </c>
      <c r="N71" s="35">
        <f t="shared" si="21"/>
        <v>0</v>
      </c>
      <c r="O71" s="47">
        <f t="shared" si="22"/>
        <v>0</v>
      </c>
      <c r="P71" s="50"/>
      <c r="Q71" s="50">
        <f>N71-0</f>
        <v>0</v>
      </c>
      <c r="R71" s="126"/>
    </row>
    <row r="72" spans="1:18" s="6" customFormat="1" ht="15.75" hidden="1">
      <c r="A72" s="8"/>
      <c r="B72" s="12" t="s">
        <v>73</v>
      </c>
      <c r="C72" s="59" t="s">
        <v>98</v>
      </c>
      <c r="D72" s="36">
        <v>0</v>
      </c>
      <c r="E72" s="36">
        <v>0</v>
      </c>
      <c r="F72" s="143">
        <v>0</v>
      </c>
      <c r="G72" s="43">
        <f t="shared" si="13"/>
        <v>0</v>
      </c>
      <c r="H72" s="35" t="e">
        <f>F72/E72*100</f>
        <v>#DIV/0!</v>
      </c>
      <c r="I72" s="50">
        <f t="shared" si="15"/>
        <v>0</v>
      </c>
      <c r="J72" s="50" t="e">
        <f>F72/D72*100</f>
        <v>#DIV/0!</v>
      </c>
      <c r="K72" s="50"/>
      <c r="L72" s="50">
        <f t="shared" si="19"/>
        <v>0</v>
      </c>
      <c r="M72" s="35">
        <f t="shared" si="20"/>
        <v>0</v>
      </c>
      <c r="N72" s="35">
        <f t="shared" si="21"/>
        <v>0</v>
      </c>
      <c r="O72" s="47">
        <f t="shared" si="22"/>
        <v>0</v>
      </c>
      <c r="P72" s="50" t="e">
        <f>N72/M72*100</f>
        <v>#DIV/0!</v>
      </c>
      <c r="Q72" s="50"/>
      <c r="R72" s="126"/>
    </row>
    <row r="73" spans="1:18" s="6" customFormat="1" ht="15.75" customHeight="1">
      <c r="A73" s="8"/>
      <c r="B73" s="14" t="s">
        <v>73</v>
      </c>
      <c r="C73" s="13" t="s">
        <v>99</v>
      </c>
      <c r="D73" s="36">
        <v>4200</v>
      </c>
      <c r="E73" s="36">
        <v>280</v>
      </c>
      <c r="F73" s="143">
        <f>'січень '!F99</f>
        <v>263.2</v>
      </c>
      <c r="G73" s="43">
        <f t="shared" si="13"/>
        <v>-16.80000000000001</v>
      </c>
      <c r="H73" s="35">
        <f>F73/E73*100</f>
        <v>94</v>
      </c>
      <c r="I73" s="50">
        <f t="shared" si="15"/>
        <v>-3936.8</v>
      </c>
      <c r="J73" s="50">
        <f>F73/D73*100</f>
        <v>6.266666666666667</v>
      </c>
      <c r="K73" s="50">
        <f>F73-277.38</f>
        <v>-14.180000000000007</v>
      </c>
      <c r="L73" s="50">
        <f>F73/277.38*100</f>
        <v>94.88787944336289</v>
      </c>
      <c r="M73" s="35">
        <f t="shared" si="20"/>
        <v>280</v>
      </c>
      <c r="N73" s="35">
        <f t="shared" si="21"/>
        <v>263.2</v>
      </c>
      <c r="O73" s="47">
        <f t="shared" si="22"/>
        <v>-16.80000000000001</v>
      </c>
      <c r="P73" s="50">
        <f>N73/M73*100</f>
        <v>94</v>
      </c>
      <c r="Q73" s="50">
        <f>N73-277.38</f>
        <v>-14.180000000000007</v>
      </c>
      <c r="R73" s="126">
        <f>N73/277.38</f>
        <v>0.9488787944336289</v>
      </c>
    </row>
    <row r="74" spans="1:18" s="6" customFormat="1" ht="31.5" customHeight="1" hidden="1">
      <c r="A74" s="8"/>
      <c r="B74" s="14" t="s">
        <v>100</v>
      </c>
      <c r="C74" s="83" t="s">
        <v>101</v>
      </c>
      <c r="D74" s="36">
        <v>0</v>
      </c>
      <c r="E74" s="36">
        <v>0</v>
      </c>
      <c r="F74" s="143">
        <v>0</v>
      </c>
      <c r="G74" s="43">
        <f t="shared" si="13"/>
        <v>0</v>
      </c>
      <c r="H74" s="35" t="e">
        <f>F74/E74*100</f>
        <v>#DIV/0!</v>
      </c>
      <c r="I74" s="50">
        <f t="shared" si="15"/>
        <v>0</v>
      </c>
      <c r="J74" s="50" t="e">
        <f>F74/D74*100</f>
        <v>#DIV/0!</v>
      </c>
      <c r="K74" s="50"/>
      <c r="L74" s="50">
        <f t="shared" si="19"/>
        <v>0</v>
      </c>
      <c r="M74" s="35">
        <f t="shared" si="20"/>
        <v>0</v>
      </c>
      <c r="N74" s="35">
        <f t="shared" si="21"/>
        <v>0</v>
      </c>
      <c r="O74" s="47">
        <f t="shared" si="22"/>
        <v>0</v>
      </c>
      <c r="P74" s="50" t="e">
        <f>F74/M74*100</f>
        <v>#DIV/0!</v>
      </c>
      <c r="Q74" s="50"/>
      <c r="R74" s="126">
        <f>N74/277.38</f>
        <v>0</v>
      </c>
    </row>
    <row r="75" spans="1:18" s="6" customFormat="1" ht="15.75" hidden="1">
      <c r="A75" s="8"/>
      <c r="B75" s="14" t="s">
        <v>102</v>
      </c>
      <c r="C75" s="83" t="s">
        <v>103</v>
      </c>
      <c r="D75" s="36">
        <v>0</v>
      </c>
      <c r="E75" s="36">
        <v>0</v>
      </c>
      <c r="F75" s="143">
        <v>0</v>
      </c>
      <c r="G75" s="43">
        <f t="shared" si="13"/>
        <v>0</v>
      </c>
      <c r="H75" s="35" t="e">
        <f>F75/E75*100</f>
        <v>#DIV/0!</v>
      </c>
      <c r="I75" s="50">
        <f t="shared" si="15"/>
        <v>0</v>
      </c>
      <c r="J75" s="50" t="e">
        <f>F75/D75*100</f>
        <v>#DIV/0!</v>
      </c>
      <c r="K75" s="50"/>
      <c r="L75" s="50">
        <f t="shared" si="19"/>
        <v>0</v>
      </c>
      <c r="M75" s="35">
        <f t="shared" si="20"/>
        <v>0</v>
      </c>
      <c r="N75" s="35">
        <f t="shared" si="21"/>
        <v>0</v>
      </c>
      <c r="O75" s="47">
        <f t="shared" si="22"/>
        <v>0</v>
      </c>
      <c r="P75" s="50"/>
      <c r="Q75" s="50"/>
      <c r="R75" s="126">
        <f>N75/277.38</f>
        <v>0</v>
      </c>
    </row>
    <row r="76" spans="1:18" s="6" customFormat="1" ht="31.5">
      <c r="A76" s="8"/>
      <c r="B76" s="69" t="s">
        <v>127</v>
      </c>
      <c r="C76" s="83"/>
      <c r="D76" s="135"/>
      <c r="E76" s="135"/>
      <c r="F76" s="144">
        <f>'січень '!F102</f>
        <v>81.9</v>
      </c>
      <c r="G76" s="43">
        <f t="shared" si="13"/>
        <v>81.9</v>
      </c>
      <c r="H76" s="35"/>
      <c r="I76" s="50">
        <f t="shared" si="15"/>
        <v>81.9</v>
      </c>
      <c r="J76" s="136"/>
      <c r="K76" s="136">
        <f>F76-64.93</f>
        <v>16.97</v>
      </c>
      <c r="L76" s="138">
        <f>F76/64.93*100</f>
        <v>126.13583859541045</v>
      </c>
      <c r="M76" s="35">
        <f t="shared" si="20"/>
        <v>0</v>
      </c>
      <c r="N76" s="35">
        <f t="shared" si="21"/>
        <v>81.9</v>
      </c>
      <c r="O76" s="47"/>
      <c r="P76" s="50"/>
      <c r="Q76" s="50">
        <f>N76-64.93</f>
        <v>16.97</v>
      </c>
      <c r="R76" s="126">
        <f>N76/64.93</f>
        <v>1.2613583859541044</v>
      </c>
    </row>
    <row r="77" spans="1:18" s="6" customFormat="1" ht="44.25" customHeight="1">
      <c r="A77" s="8"/>
      <c r="B77" s="14" t="s">
        <v>128</v>
      </c>
      <c r="C77" s="59">
        <v>24061900</v>
      </c>
      <c r="D77" s="36">
        <v>13</v>
      </c>
      <c r="E77" s="36">
        <v>0</v>
      </c>
      <c r="F77" s="143">
        <v>0</v>
      </c>
      <c r="G77" s="43">
        <f t="shared" si="13"/>
        <v>0</v>
      </c>
      <c r="H77" s="35"/>
      <c r="I77" s="50">
        <f t="shared" si="15"/>
        <v>-13</v>
      </c>
      <c r="J77" s="50"/>
      <c r="K77" s="50">
        <f>F77-0</f>
        <v>0</v>
      </c>
      <c r="L77" s="50" t="e">
        <f>F77/0*100</f>
        <v>#DIV/0!</v>
      </c>
      <c r="M77" s="35">
        <f t="shared" si="20"/>
        <v>0</v>
      </c>
      <c r="N77" s="35">
        <f t="shared" si="21"/>
        <v>0</v>
      </c>
      <c r="O77" s="47">
        <f aca="true" t="shared" si="23" ref="O77:O83">N77-M77</f>
        <v>0</v>
      </c>
      <c r="P77" s="50"/>
      <c r="Q77" s="50"/>
      <c r="R77" s="126"/>
    </row>
    <row r="78" spans="1:18" s="6" customFormat="1" ht="31.5">
      <c r="A78" s="8"/>
      <c r="B78" s="14" t="s">
        <v>129</v>
      </c>
      <c r="C78" s="59">
        <v>31010200</v>
      </c>
      <c r="D78" s="36">
        <v>26.5</v>
      </c>
      <c r="E78" s="36">
        <v>1.8</v>
      </c>
      <c r="F78" s="143">
        <f>'січень '!F104</f>
        <v>1.8</v>
      </c>
      <c r="G78" s="43">
        <f t="shared" si="13"/>
        <v>0</v>
      </c>
      <c r="H78" s="35">
        <f>F78/E78*100</f>
        <v>100</v>
      </c>
      <c r="I78" s="50">
        <f t="shared" si="15"/>
        <v>-24.7</v>
      </c>
      <c r="J78" s="50">
        <f>F78/D78*100</f>
        <v>6.7924528301886795</v>
      </c>
      <c r="K78" s="50">
        <f>F78-2.2</f>
        <v>-0.40000000000000013</v>
      </c>
      <c r="L78" s="50">
        <f>F78/2.21*100</f>
        <v>81.44796380090497</v>
      </c>
      <c r="M78" s="35">
        <f t="shared" si="20"/>
        <v>1.8</v>
      </c>
      <c r="N78" s="35">
        <f t="shared" si="21"/>
        <v>1.8</v>
      </c>
      <c r="O78" s="47">
        <f t="shared" si="23"/>
        <v>0</v>
      </c>
      <c r="P78" s="50"/>
      <c r="Q78" s="50"/>
      <c r="R78" s="126"/>
    </row>
    <row r="79" spans="1:18" s="6" customFormat="1" ht="31.5">
      <c r="A79" s="8"/>
      <c r="B79" s="14" t="s">
        <v>165</v>
      </c>
      <c r="C79" s="59">
        <v>31020000</v>
      </c>
      <c r="D79" s="36">
        <v>0</v>
      </c>
      <c r="E79" s="36">
        <v>0</v>
      </c>
      <c r="F79" s="143">
        <v>0.02</v>
      </c>
      <c r="G79" s="43">
        <f t="shared" si="13"/>
        <v>0.02</v>
      </c>
      <c r="H79" s="35"/>
      <c r="I79" s="50">
        <f t="shared" si="15"/>
        <v>0.02</v>
      </c>
      <c r="J79" s="50"/>
      <c r="K79" s="50"/>
      <c r="L79" s="50"/>
      <c r="M79" s="35">
        <f t="shared" si="20"/>
        <v>0</v>
      </c>
      <c r="N79" s="35">
        <f t="shared" si="21"/>
        <v>0.02</v>
      </c>
      <c r="O79" s="47">
        <f t="shared" si="23"/>
        <v>0.02</v>
      </c>
      <c r="P79" s="50"/>
      <c r="Q79" s="50"/>
      <c r="R79" s="126"/>
    </row>
    <row r="80" spans="1:21" s="6" customFormat="1" ht="18.75">
      <c r="A80" s="9"/>
      <c r="B80" s="17" t="s">
        <v>109</v>
      </c>
      <c r="C80" s="84"/>
      <c r="D80" s="18">
        <f>D8+D48+D78+D79</f>
        <v>530022.6</v>
      </c>
      <c r="E80" s="18">
        <f>E8+E48+E78+E79</f>
        <v>36093.700000000004</v>
      </c>
      <c r="F80" s="18">
        <f>F8+F48+F78+F79</f>
        <v>38738.515999999996</v>
      </c>
      <c r="G80" s="44">
        <f>F80-E80</f>
        <v>2644.8159999999916</v>
      </c>
      <c r="H80" s="45">
        <f>F80/E80*100</f>
        <v>107.32763889543048</v>
      </c>
      <c r="I80" s="31">
        <f t="shared" si="15"/>
        <v>-491284.084</v>
      </c>
      <c r="J80" s="31">
        <f>F80/D80*100</f>
        <v>7.30884230219617</v>
      </c>
      <c r="K80" s="31">
        <f>F80-34768</f>
        <v>3970.515999999996</v>
      </c>
      <c r="L80" s="31">
        <f>F80/34768*100</f>
        <v>111.42002991256325</v>
      </c>
      <c r="M80" s="18">
        <f>M8+M48+M78+M79</f>
        <v>36093.700000000004</v>
      </c>
      <c r="N80" s="18">
        <f>N8+N48+N78+N79</f>
        <v>38738.515999999996</v>
      </c>
      <c r="O80" s="49">
        <f t="shared" si="23"/>
        <v>2644.8159999999916</v>
      </c>
      <c r="P80" s="31">
        <f>N80/M80*100</f>
        <v>107.32763889543048</v>
      </c>
      <c r="Q80" s="31">
        <f>N80-34768</f>
        <v>3970.515999999996</v>
      </c>
      <c r="R80" s="171">
        <f>N80/34768</f>
        <v>1.1142002991256326</v>
      </c>
      <c r="S80" s="172"/>
      <c r="T80" s="166"/>
      <c r="U80" s="66"/>
    </row>
    <row r="81" spans="1:18" s="66" customFormat="1" ht="18.75" hidden="1">
      <c r="A81" s="62"/>
      <c r="B81" s="75" t="s">
        <v>150</v>
      </c>
      <c r="C81" s="85"/>
      <c r="D81" s="64">
        <v>0</v>
      </c>
      <c r="E81" s="112">
        <v>0</v>
      </c>
      <c r="F81" s="112">
        <v>0</v>
      </c>
      <c r="G81" s="102">
        <f>F81-E81</f>
        <v>0</v>
      </c>
      <c r="H81" s="65" t="e">
        <f>F81/E81*100</f>
        <v>#DIV/0!</v>
      </c>
      <c r="I81" s="74">
        <f t="shared" si="15"/>
        <v>0</v>
      </c>
      <c r="J81" s="46" t="e">
        <f>F81/D81*100</f>
        <v>#DIV/0!</v>
      </c>
      <c r="K81" s="46"/>
      <c r="L81" s="46"/>
      <c r="M81" s="113">
        <f>E81</f>
        <v>0</v>
      </c>
      <c r="N81" s="64"/>
      <c r="O81" s="109">
        <f t="shared" si="23"/>
        <v>0</v>
      </c>
      <c r="P81" s="46" t="e">
        <f>N81/M81*100</f>
        <v>#DIV/0!</v>
      </c>
      <c r="Q81" s="46"/>
      <c r="R81" s="128"/>
    </row>
    <row r="82" spans="1:18" s="66" customFormat="1" ht="18.75" hidden="1">
      <c r="A82" s="62"/>
      <c r="B82" s="76" t="s">
        <v>152</v>
      </c>
      <c r="C82" s="85"/>
      <c r="D82" s="77">
        <v>1171.6179</v>
      </c>
      <c r="E82" s="64">
        <v>1171.6179</v>
      </c>
      <c r="F82" s="112">
        <f>'[2]січень'!$C$27/1000</f>
        <v>0</v>
      </c>
      <c r="G82" s="55">
        <f>F82-E82</f>
        <v>-1171.6179</v>
      </c>
      <c r="H82" s="65"/>
      <c r="I82" s="78">
        <f t="shared" si="15"/>
        <v>-1171.6179</v>
      </c>
      <c r="J82" s="46"/>
      <c r="K82" s="46"/>
      <c r="L82" s="46"/>
      <c r="M82" s="35">
        <f>E82</f>
        <v>1171.6179</v>
      </c>
      <c r="N82" s="64">
        <f>F82</f>
        <v>0</v>
      </c>
      <c r="O82" s="79">
        <f t="shared" si="23"/>
        <v>-1171.6179</v>
      </c>
      <c r="P82" s="46">
        <f>N82/M82*100</f>
        <v>0</v>
      </c>
      <c r="Q82" s="46"/>
      <c r="R82" s="128"/>
    </row>
    <row r="83" spans="1:18" s="66" customFormat="1" ht="37.5" hidden="1">
      <c r="A83" s="62"/>
      <c r="B83" s="76" t="s">
        <v>177</v>
      </c>
      <c r="C83" s="85"/>
      <c r="D83" s="77"/>
      <c r="E83" s="43">
        <v>0</v>
      </c>
      <c r="F83" s="147">
        <v>0</v>
      </c>
      <c r="G83" s="55">
        <f>F83-E83</f>
        <v>0</v>
      </c>
      <c r="H83" s="65"/>
      <c r="I83" s="78"/>
      <c r="J83" s="46"/>
      <c r="K83" s="46"/>
      <c r="L83" s="46"/>
      <c r="M83" s="35">
        <v>0</v>
      </c>
      <c r="N83" s="77">
        <v>0</v>
      </c>
      <c r="O83" s="109">
        <f t="shared" si="23"/>
        <v>0</v>
      </c>
      <c r="P83" s="46"/>
      <c r="Q83" s="46"/>
      <c r="R83" s="128"/>
    </row>
    <row r="84" spans="2:18" ht="15.75">
      <c r="B84" s="25" t="s">
        <v>110</v>
      </c>
      <c r="C84" s="86"/>
      <c r="D84" s="28"/>
      <c r="E84" s="28"/>
      <c r="F84" s="146"/>
      <c r="G84" s="43"/>
      <c r="H84" s="35"/>
      <c r="I84" s="53"/>
      <c r="J84" s="53"/>
      <c r="K84" s="53"/>
      <c r="L84" s="53"/>
      <c r="M84" s="36"/>
      <c r="N84" s="36"/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146">
        <v>4.4</v>
      </c>
      <c r="G85" s="43">
        <f aca="true" t="shared" si="24" ref="G85:G93">F85-E85</f>
        <v>4.4</v>
      </c>
      <c r="H85" s="35"/>
      <c r="I85" s="53">
        <f aca="true" t="shared" si="25" ref="I85:I92">F85-D85</f>
        <v>4.4</v>
      </c>
      <c r="J85" s="53"/>
      <c r="K85" s="53">
        <f>F85-24.53</f>
        <v>-20.130000000000003</v>
      </c>
      <c r="L85" s="53">
        <f>F85/24.53*100</f>
        <v>17.937219730941706</v>
      </c>
      <c r="M85" s="35">
        <f>E85</f>
        <v>0</v>
      </c>
      <c r="N85" s="35">
        <f>F85</f>
        <v>4.4</v>
      </c>
      <c r="O85" s="47">
        <f aca="true" t="shared" si="26" ref="O85:O93">N85-M85</f>
        <v>4.4</v>
      </c>
      <c r="P85" s="53" t="e">
        <f>N85/M85*100</f>
        <v>#DIV/0!</v>
      </c>
      <c r="Q85" s="53">
        <f>N85-24.53</f>
        <v>-20.130000000000003</v>
      </c>
      <c r="R85" s="129">
        <f>N85/24.53</f>
        <v>0.17937219730941706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33">
        <f>F85</f>
        <v>4.4</v>
      </c>
      <c r="G86" s="55">
        <f t="shared" si="24"/>
        <v>4.4</v>
      </c>
      <c r="H86" s="65"/>
      <c r="I86" s="54">
        <f t="shared" si="25"/>
        <v>4.4</v>
      </c>
      <c r="J86" s="54"/>
      <c r="K86" s="54">
        <f>F86-92.85</f>
        <v>-88.44999999999999</v>
      </c>
      <c r="L86" s="54">
        <f>F86/92.85*100</f>
        <v>4.73882606354335</v>
      </c>
      <c r="M86" s="55">
        <f>M85</f>
        <v>0</v>
      </c>
      <c r="N86" s="33">
        <f>SUM(N85:N85)</f>
        <v>4.4</v>
      </c>
      <c r="O86" s="54">
        <f t="shared" si="26"/>
        <v>4.4</v>
      </c>
      <c r="P86" s="54"/>
      <c r="Q86" s="54">
        <f>N86-92.85</f>
        <v>-88.44999999999999</v>
      </c>
      <c r="R86" s="130">
        <f>N86/92.85</f>
        <v>0.0473882606354335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146">
        <v>0</v>
      </c>
      <c r="G87" s="43">
        <f t="shared" si="24"/>
        <v>0</v>
      </c>
      <c r="H87" s="35" t="e">
        <f aca="true" t="shared" si="27" ref="H87:H93">F87/E87*100</f>
        <v>#DIV/0!</v>
      </c>
      <c r="I87" s="53">
        <f t="shared" si="25"/>
        <v>0</v>
      </c>
      <c r="J87" s="53" t="e">
        <f aca="true" t="shared" si="28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26"/>
        <v>0</v>
      </c>
      <c r="P87" s="53" t="e">
        <f aca="true" t="shared" si="29" ref="P87:P92">N87/M87*100</f>
        <v>#DIV/0!</v>
      </c>
      <c r="Q87" s="53"/>
      <c r="R87" s="129"/>
    </row>
    <row r="88" spans="2:18" ht="31.5">
      <c r="B88" s="26" t="s">
        <v>111</v>
      </c>
      <c r="C88" s="97">
        <v>31030000</v>
      </c>
      <c r="D88" s="167">
        <v>2500</v>
      </c>
      <c r="E88" s="28">
        <v>0</v>
      </c>
      <c r="F88" s="146">
        <v>0.03</v>
      </c>
      <c r="G88" s="43">
        <f t="shared" si="24"/>
        <v>0.03</v>
      </c>
      <c r="H88" s="35" t="e">
        <f t="shared" si="27"/>
        <v>#DIV/0!</v>
      </c>
      <c r="I88" s="53">
        <f t="shared" si="25"/>
        <v>-2499.97</v>
      </c>
      <c r="J88" s="53">
        <f t="shared" si="28"/>
        <v>0.0012000000000000001</v>
      </c>
      <c r="K88" s="53">
        <f>F88-0.04</f>
        <v>-0.010000000000000002</v>
      </c>
      <c r="L88" s="53">
        <f>F88/0.04*100</f>
        <v>75</v>
      </c>
      <c r="M88" s="35">
        <f>E88</f>
        <v>0</v>
      </c>
      <c r="N88" s="35">
        <f>F88</f>
        <v>0.03</v>
      </c>
      <c r="O88" s="47">
        <f t="shared" si="26"/>
        <v>0.03</v>
      </c>
      <c r="P88" s="53" t="e">
        <f t="shared" si="29"/>
        <v>#DIV/0!</v>
      </c>
      <c r="Q88" s="53">
        <f>N88-0.04</f>
        <v>-0.010000000000000002</v>
      </c>
      <c r="R88" s="129">
        <f>N88/0.04</f>
        <v>0.75</v>
      </c>
    </row>
    <row r="89" spans="2:18" ht="15.75">
      <c r="B89" s="26" t="s">
        <v>112</v>
      </c>
      <c r="C89" s="97">
        <v>33010000</v>
      </c>
      <c r="D89" s="167">
        <v>11576</v>
      </c>
      <c r="E89" s="28">
        <v>259.698</v>
      </c>
      <c r="F89" s="146">
        <v>259.69</v>
      </c>
      <c r="G89" s="43">
        <f t="shared" si="24"/>
        <v>-0.007999999999981355</v>
      </c>
      <c r="H89" s="35">
        <f t="shared" si="27"/>
        <v>99.99691949880246</v>
      </c>
      <c r="I89" s="53">
        <f t="shared" si="25"/>
        <v>-11316.31</v>
      </c>
      <c r="J89" s="53">
        <f t="shared" si="28"/>
        <v>2.2433483068417415</v>
      </c>
      <c r="K89" s="53">
        <f>F89-450.01</f>
        <v>-190.32</v>
      </c>
      <c r="L89" s="53">
        <f>F89/450.01*100</f>
        <v>57.70760649763339</v>
      </c>
      <c r="M89" s="35">
        <f>E89</f>
        <v>259.698</v>
      </c>
      <c r="N89" s="35">
        <f>F89</f>
        <v>259.69</v>
      </c>
      <c r="O89" s="47">
        <f t="shared" si="26"/>
        <v>-0.007999999999981355</v>
      </c>
      <c r="P89" s="53">
        <f t="shared" si="29"/>
        <v>99.99691949880246</v>
      </c>
      <c r="Q89" s="53">
        <f>N89-450.01</f>
        <v>-190.32</v>
      </c>
      <c r="R89" s="129">
        <f>N89/450.01</f>
        <v>0.5770760649763339</v>
      </c>
    </row>
    <row r="90" spans="2:18" ht="31.5">
      <c r="B90" s="26" t="s">
        <v>156</v>
      </c>
      <c r="C90" s="97">
        <v>24170000</v>
      </c>
      <c r="D90" s="167">
        <v>3000</v>
      </c>
      <c r="E90" s="28">
        <v>0</v>
      </c>
      <c r="F90" s="146">
        <v>-16.04</v>
      </c>
      <c r="G90" s="43">
        <f t="shared" si="24"/>
        <v>-16.04</v>
      </c>
      <c r="H90" s="35" t="e">
        <f t="shared" si="27"/>
        <v>#DIV/0!</v>
      </c>
      <c r="I90" s="53">
        <f t="shared" si="25"/>
        <v>-3016.04</v>
      </c>
      <c r="J90" s="53">
        <f t="shared" si="28"/>
        <v>-0.5346666666666666</v>
      </c>
      <c r="K90" s="53">
        <f>F90-1.05</f>
        <v>-17.09</v>
      </c>
      <c r="L90" s="53">
        <f>F90/1.05*100</f>
        <v>-1527.6190476190475</v>
      </c>
      <c r="M90" s="35">
        <f>E90</f>
        <v>0</v>
      </c>
      <c r="N90" s="35">
        <f>F90</f>
        <v>-16.04</v>
      </c>
      <c r="O90" s="47">
        <f t="shared" si="26"/>
        <v>-16.04</v>
      </c>
      <c r="P90" s="53" t="e">
        <f t="shared" si="29"/>
        <v>#DIV/0!</v>
      </c>
      <c r="Q90" s="53">
        <f>N90-1.05</f>
        <v>-17.09</v>
      </c>
      <c r="R90" s="129">
        <f>N90/1.05</f>
        <v>-15.276190476190475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259.698</v>
      </c>
      <c r="F91" s="145">
        <f>F88+F89+F90</f>
        <v>243.67999999999998</v>
      </c>
      <c r="G91" s="55">
        <f t="shared" si="24"/>
        <v>-16.018</v>
      </c>
      <c r="H91" s="65">
        <f t="shared" si="27"/>
        <v>93.83206647721585</v>
      </c>
      <c r="I91" s="54">
        <f t="shared" si="25"/>
        <v>-16832.32</v>
      </c>
      <c r="J91" s="54">
        <f t="shared" si="28"/>
        <v>1.4270320918247832</v>
      </c>
      <c r="K91" s="54">
        <f>F91-7985.28</f>
        <v>-7741.599999999999</v>
      </c>
      <c r="L91" s="54">
        <f>F91/7985.28*100</f>
        <v>3.0516149715476475</v>
      </c>
      <c r="M91" s="55">
        <f>M88+M89+M90</f>
        <v>259.698</v>
      </c>
      <c r="N91" s="55">
        <f>N88+N89+N90</f>
        <v>243.67999999999998</v>
      </c>
      <c r="O91" s="54">
        <f t="shared" si="26"/>
        <v>-16.018</v>
      </c>
      <c r="P91" s="54">
        <f t="shared" si="29"/>
        <v>93.83206647721585</v>
      </c>
      <c r="Q91" s="54">
        <f>N91-7985.28</f>
        <v>-7741.599999999999</v>
      </c>
      <c r="R91" s="173">
        <f>N91/7985.28</f>
        <v>0.030516149715476476</v>
      </c>
      <c r="S91" s="174"/>
    </row>
    <row r="92" spans="2:18" ht="47.25">
      <c r="B92" s="14" t="s">
        <v>124</v>
      </c>
      <c r="C92" s="100">
        <v>24062100</v>
      </c>
      <c r="D92" s="167">
        <v>35</v>
      </c>
      <c r="E92" s="28">
        <v>0</v>
      </c>
      <c r="F92" s="146">
        <v>0</v>
      </c>
      <c r="G92" s="43">
        <f t="shared" si="24"/>
        <v>0</v>
      </c>
      <c r="H92" s="35" t="e">
        <f t="shared" si="27"/>
        <v>#DIV/0!</v>
      </c>
      <c r="I92" s="53">
        <f t="shared" si="25"/>
        <v>-35</v>
      </c>
      <c r="J92" s="53">
        <f t="shared" si="28"/>
        <v>0</v>
      </c>
      <c r="K92" s="53">
        <f>F92-0.16</f>
        <v>-0.16</v>
      </c>
      <c r="L92" s="53">
        <f>F92/0.16*100</f>
        <v>0</v>
      </c>
      <c r="M92" s="35">
        <f aca="true" t="shared" si="30" ref="M92:N94">E92</f>
        <v>0</v>
      </c>
      <c r="N92" s="35">
        <f t="shared" si="30"/>
        <v>0</v>
      </c>
      <c r="O92" s="47">
        <f t="shared" si="26"/>
        <v>0</v>
      </c>
      <c r="P92" s="53" t="e">
        <f t="shared" si="29"/>
        <v>#DIV/0!</v>
      </c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146">
        <v>0</v>
      </c>
      <c r="G93" s="43">
        <f t="shared" si="24"/>
        <v>0</v>
      </c>
      <c r="H93" s="35" t="e">
        <f t="shared" si="27"/>
        <v>#DIV/0!</v>
      </c>
      <c r="I93" s="56"/>
      <c r="J93" s="56"/>
      <c r="K93" s="56"/>
      <c r="L93" s="53">
        <f>F93</f>
        <v>0</v>
      </c>
      <c r="M93" s="35">
        <f t="shared" si="30"/>
        <v>0</v>
      </c>
      <c r="N93" s="35">
        <f t="shared" si="30"/>
        <v>0</v>
      </c>
      <c r="O93" s="47">
        <f t="shared" si="26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167">
        <v>19</v>
      </c>
      <c r="E94" s="28">
        <v>0</v>
      </c>
      <c r="F94" s="146">
        <v>0</v>
      </c>
      <c r="G94" s="43"/>
      <c r="H94" s="35"/>
      <c r="I94" s="56"/>
      <c r="J94" s="56"/>
      <c r="K94" s="47">
        <f>F94-8.76</f>
        <v>-8.76</v>
      </c>
      <c r="L94" s="53">
        <f>F94/8.76*100</f>
        <v>0</v>
      </c>
      <c r="M94" s="35">
        <f t="shared" si="30"/>
        <v>0</v>
      </c>
      <c r="N94" s="35">
        <f t="shared" si="30"/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146">
        <v>0.17</v>
      </c>
      <c r="G95" s="43">
        <f>F95-E95</f>
        <v>0.17</v>
      </c>
      <c r="H95" s="35"/>
      <c r="I95" s="53">
        <f>F95-D95</f>
        <v>0.17</v>
      </c>
      <c r="J95" s="53"/>
      <c r="K95" s="53">
        <f>F95-(-0.21)</f>
        <v>0.38</v>
      </c>
      <c r="L95" s="53"/>
      <c r="M95" s="35">
        <f>E95</f>
        <v>0</v>
      </c>
      <c r="N95" s="35">
        <v>0.17</v>
      </c>
      <c r="O95" s="47">
        <f>N95-M95</f>
        <v>0.17</v>
      </c>
      <c r="P95" s="53"/>
      <c r="Q95" s="53">
        <f>N95-(-0.21)</f>
        <v>0.38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0</v>
      </c>
      <c r="F96" s="145">
        <f>F92+F95+F94</f>
        <v>0.17</v>
      </c>
      <c r="G96" s="55">
        <f>F96-E96</f>
        <v>0.17</v>
      </c>
      <c r="H96" s="65" t="e">
        <f>F96/E96*100</f>
        <v>#DIV/0!</v>
      </c>
      <c r="I96" s="54">
        <f>F96-D96</f>
        <v>-53.83</v>
      </c>
      <c r="J96" s="54">
        <f>F96/D96*100</f>
        <v>0.3148148148148148</v>
      </c>
      <c r="K96" s="54">
        <f>F96-26.38</f>
        <v>-26.209999999999997</v>
      </c>
      <c r="L96" s="54">
        <f>F96/26.38*100</f>
        <v>0.6444275966641395</v>
      </c>
      <c r="M96" s="55">
        <f>M92+M95+M94</f>
        <v>0</v>
      </c>
      <c r="N96" s="55">
        <f>N92+N95+N94</f>
        <v>0.17</v>
      </c>
      <c r="O96" s="54">
        <f>N96-M96</f>
        <v>0.17</v>
      </c>
      <c r="P96" s="54" t="e">
        <f>N96/M96*100</f>
        <v>#DIV/0!</v>
      </c>
      <c r="Q96" s="54">
        <f>N96-26.38</f>
        <v>-26.209999999999997</v>
      </c>
      <c r="R96" s="128">
        <f>N96/26.38</f>
        <v>0.006444275966641396</v>
      </c>
    </row>
    <row r="97" spans="2:18" ht="31.5">
      <c r="B97" s="14" t="s">
        <v>125</v>
      </c>
      <c r="C97" s="59">
        <v>24110900</v>
      </c>
      <c r="D97" s="167">
        <v>42</v>
      </c>
      <c r="E97" s="28">
        <v>0.59</v>
      </c>
      <c r="F97" s="146">
        <v>0.59</v>
      </c>
      <c r="G97" s="43">
        <f>F97-E97</f>
        <v>0</v>
      </c>
      <c r="H97" s="35">
        <f>F97/E97*100</f>
        <v>100</v>
      </c>
      <c r="I97" s="53">
        <f>F97-D97</f>
        <v>-41.41</v>
      </c>
      <c r="J97" s="53">
        <f>F97/D97*100</f>
        <v>1.4047619047619047</v>
      </c>
      <c r="K97" s="53">
        <f>F97-0.45</f>
        <v>0.13999999999999996</v>
      </c>
      <c r="L97" s="53">
        <f>F97/0.45*100</f>
        <v>131.11111111111111</v>
      </c>
      <c r="M97" s="35">
        <f>E97</f>
        <v>0.59</v>
      </c>
      <c r="N97" s="35">
        <f>F97</f>
        <v>0.59</v>
      </c>
      <c r="O97" s="47">
        <f>N97-M97</f>
        <v>0</v>
      </c>
      <c r="P97" s="53">
        <f>N97/M97*100</f>
        <v>100</v>
      </c>
      <c r="Q97" s="53">
        <f>N97-0.45</f>
        <v>0.13999999999999996</v>
      </c>
      <c r="R97" s="129">
        <f>N97/0.45</f>
        <v>1.3111111111111111</v>
      </c>
    </row>
    <row r="98" spans="2:18" ht="23.25" customHeight="1">
      <c r="B98" s="17" t="s">
        <v>114</v>
      </c>
      <c r="C98" s="88"/>
      <c r="D98" s="27">
        <f>D86+D97+D91+D96</f>
        <v>17172</v>
      </c>
      <c r="E98" s="27">
        <f>E86+E97+E91+E96</f>
        <v>260.28799999999995</v>
      </c>
      <c r="F98" s="148">
        <f>F86+F97+F91+F96</f>
        <v>248.83999999999997</v>
      </c>
      <c r="G98" s="44">
        <f>F98-E98</f>
        <v>-11.447999999999979</v>
      </c>
      <c r="H98" s="45">
        <f>F98/E98*100</f>
        <v>95.60179493484141</v>
      </c>
      <c r="I98" s="31">
        <f>F98-D98</f>
        <v>-16923.16</v>
      </c>
      <c r="J98" s="31">
        <f>F98/D98*100</f>
        <v>1.449103191241556</v>
      </c>
      <c r="K98" s="31">
        <f>F98-8104.96</f>
        <v>-7856.12</v>
      </c>
      <c r="L98" s="31">
        <f>F98/8104.96*100</f>
        <v>3.0702187302590014</v>
      </c>
      <c r="M98" s="27">
        <f>M86+M97+M91+M96</f>
        <v>260.28799999999995</v>
      </c>
      <c r="N98" s="27">
        <f>N86+N97+N91+N96</f>
        <v>248.83999999999997</v>
      </c>
      <c r="O98" s="31">
        <f>N98-M98</f>
        <v>-11.447999999999979</v>
      </c>
      <c r="P98" s="31">
        <f>N98/M98*100</f>
        <v>95.60179493484141</v>
      </c>
      <c r="Q98" s="31">
        <f>N98-8104.96</f>
        <v>-7856.12</v>
      </c>
      <c r="R98" s="127">
        <f>N98/8104.96</f>
        <v>0.030702187302590014</v>
      </c>
    </row>
    <row r="99" spans="2:18" ht="18.75">
      <c r="B99" s="24" t="s">
        <v>115</v>
      </c>
      <c r="C99" s="88"/>
      <c r="D99" s="27">
        <f>D80+D98</f>
        <v>547194.6</v>
      </c>
      <c r="E99" s="27">
        <f>E80+E98</f>
        <v>36353.988000000005</v>
      </c>
      <c r="F99" s="148">
        <f>F80+F98</f>
        <v>38987.35599999999</v>
      </c>
      <c r="G99" s="44">
        <f>F99-E99</f>
        <v>2633.3679999999877</v>
      </c>
      <c r="H99" s="45">
        <f>F99/E99*100</f>
        <v>107.24368396666684</v>
      </c>
      <c r="I99" s="31">
        <f>F99-D99</f>
        <v>-508207.244</v>
      </c>
      <c r="J99" s="31">
        <f>F99/D99*100</f>
        <v>7.124952621973973</v>
      </c>
      <c r="K99" s="31">
        <f>F99-42872.96</f>
        <v>-3885.6040000000066</v>
      </c>
      <c r="L99" s="31">
        <f>F99/42872.96*100</f>
        <v>90.93693554165607</v>
      </c>
      <c r="M99" s="18">
        <f>M80+M98</f>
        <v>36353.988000000005</v>
      </c>
      <c r="N99" s="18">
        <f>N80+N98</f>
        <v>38987.35599999999</v>
      </c>
      <c r="O99" s="31">
        <f>N99-M99</f>
        <v>2633.3679999999877</v>
      </c>
      <c r="P99" s="31">
        <f>N99/M99*100</f>
        <v>107.24368396666684</v>
      </c>
      <c r="Q99" s="31">
        <f>N99-42872.96</f>
        <v>-3885.6040000000066</v>
      </c>
      <c r="R99" s="127">
        <f>N99/42872.96</f>
        <v>0.9093693554165607</v>
      </c>
    </row>
    <row r="100" spans="2:14" ht="15.75">
      <c r="B100" s="23" t="s">
        <v>117</v>
      </c>
      <c r="N100" s="29"/>
    </row>
    <row r="101" spans="2:4" ht="15.75">
      <c r="B101" s="4" t="s">
        <v>119</v>
      </c>
      <c r="C101" s="101">
        <v>0</v>
      </c>
      <c r="D101" s="4" t="s">
        <v>118</v>
      </c>
    </row>
    <row r="102" spans="2:17" ht="31.5">
      <c r="B102" s="71" t="s">
        <v>154</v>
      </c>
      <c r="C102" s="34">
        <f>IF(O80&lt;0,ABS(O80/C101),0)</f>
        <v>0</v>
      </c>
      <c r="D102" s="4" t="s">
        <v>104</v>
      </c>
      <c r="G102" s="207"/>
      <c r="H102" s="207"/>
      <c r="I102" s="207"/>
      <c r="J102" s="207"/>
      <c r="K102" s="115"/>
      <c r="L102" s="115"/>
      <c r="P102" s="29"/>
      <c r="Q102" s="29"/>
    </row>
    <row r="103" spans="2:15" ht="34.5" customHeight="1">
      <c r="B103" s="72" t="s">
        <v>159</v>
      </c>
      <c r="C103" s="111">
        <v>42034</v>
      </c>
      <c r="D103" s="34">
        <v>5538.3</v>
      </c>
      <c r="N103" s="208"/>
      <c r="O103" s="208"/>
    </row>
    <row r="104" spans="3:15" ht="15.75">
      <c r="C104" s="111">
        <v>42033</v>
      </c>
      <c r="D104" s="34">
        <v>2896.5</v>
      </c>
      <c r="F104" s="155" t="s">
        <v>166</v>
      </c>
      <c r="G104" s="214" t="s">
        <v>151</v>
      </c>
      <c r="H104" s="214"/>
      <c r="I104" s="106">
        <f>'січень '!I139</f>
        <v>8909.733</v>
      </c>
      <c r="J104" s="226" t="s">
        <v>161</v>
      </c>
      <c r="K104" s="226"/>
      <c r="L104" s="226"/>
      <c r="M104" s="226"/>
      <c r="N104" s="208"/>
      <c r="O104" s="208"/>
    </row>
    <row r="105" spans="3:15" ht="15.75">
      <c r="C105" s="111">
        <v>42032</v>
      </c>
      <c r="D105" s="34">
        <v>2838.1</v>
      </c>
      <c r="G105" s="216" t="s">
        <v>155</v>
      </c>
      <c r="H105" s="216"/>
      <c r="I105" s="103">
        <f>'січень '!I140</f>
        <v>0</v>
      </c>
      <c r="J105" s="229" t="s">
        <v>162</v>
      </c>
      <c r="K105" s="229"/>
      <c r="L105" s="229"/>
      <c r="M105" s="229"/>
      <c r="N105" s="208"/>
      <c r="O105" s="208"/>
    </row>
    <row r="106" spans="7:13" ht="15.75" customHeight="1">
      <c r="G106" s="214" t="s">
        <v>148</v>
      </c>
      <c r="H106" s="214"/>
      <c r="I106" s="103">
        <f>'січень '!I141</f>
        <v>0</v>
      </c>
      <c r="J106" s="226" t="s">
        <v>163</v>
      </c>
      <c r="K106" s="226"/>
      <c r="L106" s="226"/>
      <c r="M106" s="226"/>
    </row>
    <row r="107" spans="2:13" ht="18.75" customHeight="1">
      <c r="B107" s="217" t="s">
        <v>160</v>
      </c>
      <c r="C107" s="218"/>
      <c r="D107" s="108">
        <f>'січень '!D142</f>
        <v>132375.63</v>
      </c>
      <c r="E107" s="73"/>
      <c r="F107" s="156" t="s">
        <v>147</v>
      </c>
      <c r="G107" s="214" t="s">
        <v>149</v>
      </c>
      <c r="H107" s="214"/>
      <c r="I107" s="107">
        <f>'січень '!I142</f>
        <v>123465.893</v>
      </c>
      <c r="J107" s="226" t="s">
        <v>164</v>
      </c>
      <c r="K107" s="226"/>
      <c r="L107" s="226"/>
      <c r="M107" s="226"/>
    </row>
    <row r="108" spans="7:12" ht="9.75" customHeight="1">
      <c r="G108" s="209"/>
      <c r="H108" s="209"/>
      <c r="I108" s="90"/>
      <c r="J108" s="91"/>
      <c r="K108" s="91"/>
      <c r="L108" s="91"/>
    </row>
    <row r="109" spans="2:12" ht="22.5" customHeight="1" hidden="1">
      <c r="B109" s="219" t="s">
        <v>167</v>
      </c>
      <c r="C109" s="220"/>
      <c r="D109" s="110">
        <v>0</v>
      </c>
      <c r="E109" s="70" t="s">
        <v>104</v>
      </c>
      <c r="G109" s="209"/>
      <c r="H109" s="209"/>
      <c r="I109" s="90"/>
      <c r="J109" s="91"/>
      <c r="K109" s="91"/>
      <c r="L109" s="91"/>
    </row>
    <row r="110" spans="4:15" ht="15.75">
      <c r="D110" s="105"/>
      <c r="N110" s="209"/>
      <c r="O110" s="209"/>
    </row>
    <row r="111" spans="4:15" ht="15.75">
      <c r="D111" s="104"/>
      <c r="I111" s="34"/>
      <c r="N111" s="221"/>
      <c r="O111" s="221"/>
    </row>
    <row r="112" spans="14:15" ht="15.75">
      <c r="N112" s="209"/>
      <c r="O112" s="209"/>
    </row>
  </sheetData>
  <mergeCells count="39">
    <mergeCell ref="N112:O112"/>
    <mergeCell ref="B109:C109"/>
    <mergeCell ref="G109:H109"/>
    <mergeCell ref="N110:O110"/>
    <mergeCell ref="N111:O111"/>
    <mergeCell ref="B107:C107"/>
    <mergeCell ref="G107:H107"/>
    <mergeCell ref="J107:M107"/>
    <mergeCell ref="G108:H108"/>
    <mergeCell ref="G105:H105"/>
    <mergeCell ref="J105:M105"/>
    <mergeCell ref="N105:O105"/>
    <mergeCell ref="G106:H106"/>
    <mergeCell ref="J106:M106"/>
    <mergeCell ref="Q5:R5"/>
    <mergeCell ref="G102:J102"/>
    <mergeCell ref="N103:O103"/>
    <mergeCell ref="G104:H104"/>
    <mergeCell ref="J104:M104"/>
    <mergeCell ref="N104:O104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7"/>
  <sheetViews>
    <sheetView zoomScale="75" zoomScaleNormal="75" workbookViewId="0" topLeftCell="B1">
      <pane xSplit="2" ySplit="9" topLeftCell="D124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137" sqref="F137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0.75390625" style="4" customWidth="1"/>
    <col min="20" max="16384" width="9.125" style="4" customWidth="1"/>
  </cols>
  <sheetData>
    <row r="1" spans="1:18" s="1" customFormat="1" ht="26.25" customHeight="1">
      <c r="A1" s="181" t="s">
        <v>193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17"/>
      <c r="R1" s="118"/>
    </row>
    <row r="2" spans="2:18" s="1" customFormat="1" ht="15.75" customHeight="1">
      <c r="B2" s="182"/>
      <c r="C2" s="182"/>
      <c r="D2" s="182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183"/>
      <c r="B3" s="185" t="s">
        <v>203</v>
      </c>
      <c r="C3" s="186" t="s">
        <v>0</v>
      </c>
      <c r="D3" s="187" t="s">
        <v>190</v>
      </c>
      <c r="E3" s="40"/>
      <c r="F3" s="188" t="s">
        <v>107</v>
      </c>
      <c r="G3" s="189"/>
      <c r="H3" s="189"/>
      <c r="I3" s="189"/>
      <c r="J3" s="190"/>
      <c r="K3" s="114"/>
      <c r="L3" s="114"/>
      <c r="M3" s="191" t="s">
        <v>187</v>
      </c>
      <c r="N3" s="194" t="s">
        <v>175</v>
      </c>
      <c r="O3" s="194"/>
      <c r="P3" s="194"/>
      <c r="Q3" s="194"/>
      <c r="R3" s="194"/>
    </row>
    <row r="4" spans="1:18" ht="22.5" customHeight="1">
      <c r="A4" s="183"/>
      <c r="B4" s="185"/>
      <c r="C4" s="186"/>
      <c r="D4" s="187"/>
      <c r="E4" s="195" t="s">
        <v>153</v>
      </c>
      <c r="F4" s="199" t="s">
        <v>116</v>
      </c>
      <c r="G4" s="201" t="s">
        <v>173</v>
      </c>
      <c r="H4" s="222" t="s">
        <v>174</v>
      </c>
      <c r="I4" s="224" t="s">
        <v>186</v>
      </c>
      <c r="J4" s="227" t="s">
        <v>189</v>
      </c>
      <c r="K4" s="116" t="s">
        <v>172</v>
      </c>
      <c r="L4" s="121" t="s">
        <v>171</v>
      </c>
      <c r="M4" s="192"/>
      <c r="N4" s="211" t="s">
        <v>194</v>
      </c>
      <c r="O4" s="224" t="s">
        <v>136</v>
      </c>
      <c r="P4" s="194" t="s">
        <v>135</v>
      </c>
      <c r="Q4" s="122" t="s">
        <v>172</v>
      </c>
      <c r="R4" s="123" t="s">
        <v>171</v>
      </c>
    </row>
    <row r="5" spans="1:19" ht="92.25" customHeight="1">
      <c r="A5" s="184"/>
      <c r="B5" s="185"/>
      <c r="C5" s="186"/>
      <c r="D5" s="187"/>
      <c r="E5" s="196"/>
      <c r="F5" s="200"/>
      <c r="G5" s="202"/>
      <c r="H5" s="223"/>
      <c r="I5" s="225"/>
      <c r="J5" s="228"/>
      <c r="K5" s="197" t="s">
        <v>188</v>
      </c>
      <c r="L5" s="198"/>
      <c r="M5" s="193"/>
      <c r="N5" s="212"/>
      <c r="O5" s="225"/>
      <c r="P5" s="194"/>
      <c r="Q5" s="197" t="s">
        <v>176</v>
      </c>
      <c r="R5" s="198"/>
      <c r="S5" s="157" t="s">
        <v>191</v>
      </c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D10+D19+D33+D56+D68+D30</f>
        <v>189770.7</v>
      </c>
      <c r="E8" s="18">
        <f>E10+E19+E33+E56+E68+E30</f>
        <v>18677.95</v>
      </c>
      <c r="F8" s="112">
        <f>F10+F19+F33+F56+F68+F30</f>
        <v>35088.770000000004</v>
      </c>
      <c r="G8" s="18">
        <f aca="true" t="shared" si="0" ref="G8:G30">F8-E8</f>
        <v>16410.820000000003</v>
      </c>
      <c r="H8" s="45">
        <f>F8/E8*100</f>
        <v>187.8619977031741</v>
      </c>
      <c r="I8" s="31">
        <f aca="true" t="shared" si="1" ref="I8:I17">F8-D8</f>
        <v>-154681.93</v>
      </c>
      <c r="J8" s="31">
        <f aca="true" t="shared" si="2" ref="J8:J14">F8/D8*100</f>
        <v>18.490088301302574</v>
      </c>
      <c r="K8" s="31">
        <f>F8-33748.2</f>
        <v>1340.570000000007</v>
      </c>
      <c r="L8" s="31">
        <f>F8/33748.2*100</f>
        <v>103.97227111371868</v>
      </c>
      <c r="M8" s="18">
        <f>M10+M19+M33+M56+M68+M30</f>
        <v>18677.95</v>
      </c>
      <c r="N8" s="18">
        <f>N10+N19+N33+N56+N68+N30</f>
        <v>35088.770000000004</v>
      </c>
      <c r="O8" s="31">
        <f aca="true" t="shared" si="3" ref="O8:O55">N8-M8</f>
        <v>16410.820000000003</v>
      </c>
      <c r="P8" s="31">
        <f>F8/M8*100</f>
        <v>187.8619977031741</v>
      </c>
      <c r="Q8" s="31">
        <f>N8-33748.16</f>
        <v>1340.6100000000006</v>
      </c>
      <c r="R8" s="125">
        <f>N8/33748.16</f>
        <v>1.0397239434683254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143963.7</v>
      </c>
      <c r="E9" s="16"/>
      <c r="F9" s="151">
        <f>F10+F17</f>
        <v>29011.72</v>
      </c>
      <c r="G9" s="18">
        <f t="shared" si="0"/>
        <v>29011.72</v>
      </c>
      <c r="H9" s="16"/>
      <c r="I9" s="50">
        <f t="shared" si="1"/>
        <v>-114951.98000000001</v>
      </c>
      <c r="J9" s="50">
        <f t="shared" si="2"/>
        <v>20.152107788282738</v>
      </c>
      <c r="K9" s="50"/>
      <c r="L9" s="50"/>
      <c r="M9" s="16">
        <f>M10+M17</f>
        <v>11344.95</v>
      </c>
      <c r="N9" s="16">
        <f>N10+N17</f>
        <v>29011.72</v>
      </c>
      <c r="O9" s="31">
        <f t="shared" si="3"/>
        <v>17666.77</v>
      </c>
      <c r="P9" s="50">
        <f>F9/M9*100</f>
        <v>255.72364796671647</v>
      </c>
      <c r="Q9" s="50"/>
      <c r="R9" s="126"/>
    </row>
    <row r="10" spans="1:20" s="6" customFormat="1" ht="15.75">
      <c r="A10" s="8"/>
      <c r="B10" s="15" t="s">
        <v>145</v>
      </c>
      <c r="C10" s="59">
        <v>11010000</v>
      </c>
      <c r="D10" s="36">
        <v>143963.7</v>
      </c>
      <c r="E10" s="36">
        <v>11344.95</v>
      </c>
      <c r="F10" s="143">
        <v>29011.72</v>
      </c>
      <c r="G10" s="43">
        <f t="shared" si="0"/>
        <v>17666.77</v>
      </c>
      <c r="H10" s="35">
        <f aca="true" t="shared" si="4" ref="H10:H17">F10/E10*100</f>
        <v>255.72364796671647</v>
      </c>
      <c r="I10" s="50">
        <f t="shared" si="1"/>
        <v>-114951.98000000001</v>
      </c>
      <c r="J10" s="50">
        <f t="shared" si="2"/>
        <v>20.152107788282738</v>
      </c>
      <c r="K10" s="132">
        <f>F10-26568.11</f>
        <v>2443.6100000000006</v>
      </c>
      <c r="L10" s="132">
        <f>F10/26568.11*100</f>
        <v>109.19753042275117</v>
      </c>
      <c r="M10" s="35">
        <f>E10</f>
        <v>11344.95</v>
      </c>
      <c r="N10" s="35">
        <f>F10</f>
        <v>29011.72</v>
      </c>
      <c r="O10" s="47">
        <f t="shared" si="3"/>
        <v>17666.77</v>
      </c>
      <c r="P10" s="50">
        <f aca="true" t="shared" si="5" ref="P10:P17">N10/M10*100</f>
        <v>255.72364796671647</v>
      </c>
      <c r="Q10" s="132">
        <f>N10-26568.11</f>
        <v>2443.6100000000006</v>
      </c>
      <c r="R10" s="133">
        <f>N10/26568.11</f>
        <v>1.0919753042275118</v>
      </c>
      <c r="S10" s="158">
        <f>0-F10/75*15</f>
        <v>-5802.344000000001</v>
      </c>
      <c r="T10" s="6" t="s">
        <v>196</v>
      </c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 aca="true" t="shared" si="6" ref="M11:M68">E11</f>
        <v>0</v>
      </c>
      <c r="N11" s="35">
        <f aca="true" t="shared" si="7" ref="N11:N68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 t="shared" si="6"/>
        <v>0</v>
      </c>
      <c r="N12" s="35">
        <f t="shared" si="7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 t="shared" si="6"/>
        <v>0</v>
      </c>
      <c r="N13" s="35">
        <f t="shared" si="7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 t="shared" si="6"/>
        <v>0</v>
      </c>
      <c r="N14" s="35">
        <f t="shared" si="7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 t="shared" si="6"/>
        <v>0</v>
      </c>
      <c r="N15" s="35">
        <f t="shared" si="7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 t="shared" si="6"/>
        <v>0</v>
      </c>
      <c r="N16" s="35">
        <f t="shared" si="7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 t="shared" si="6"/>
        <v>0</v>
      </c>
      <c r="N17" s="35">
        <f t="shared" si="7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/>
      <c r="I18" s="50" t="s">
        <v>158</v>
      </c>
      <c r="J18" s="50"/>
      <c r="K18" s="50"/>
      <c r="L18" s="50"/>
      <c r="M18" s="35">
        <f t="shared" si="6"/>
        <v>0</v>
      </c>
      <c r="N18" s="35">
        <f t="shared" si="7"/>
        <v>0</v>
      </c>
      <c r="O18" s="47">
        <f t="shared" si="3"/>
        <v>0</v>
      </c>
      <c r="P18" s="50"/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600</v>
      </c>
      <c r="E19" s="36">
        <v>100</v>
      </c>
      <c r="F19" s="143">
        <v>-566.34</v>
      </c>
      <c r="G19" s="43">
        <f t="shared" si="0"/>
        <v>-666.34</v>
      </c>
      <c r="H19" s="35">
        <f aca="true" t="shared" si="8" ref="H19:H29">F19/E19*100</f>
        <v>-566.34</v>
      </c>
      <c r="I19" s="50">
        <f aca="true" t="shared" si="9" ref="I19:I28">F19-D19</f>
        <v>-1166.3400000000001</v>
      </c>
      <c r="J19" s="50">
        <f aca="true" t="shared" si="10" ref="J19:J28">F19/D19*100</f>
        <v>-94.39</v>
      </c>
      <c r="K19" s="50">
        <f>F19-358.81</f>
        <v>-925.1500000000001</v>
      </c>
      <c r="L19" s="50">
        <f>F19/358.81*100</f>
        <v>-157.83841030071625</v>
      </c>
      <c r="M19" s="35">
        <f t="shared" si="6"/>
        <v>100</v>
      </c>
      <c r="N19" s="35">
        <f t="shared" si="7"/>
        <v>-566.34</v>
      </c>
      <c r="O19" s="47">
        <f t="shared" si="3"/>
        <v>-666.34</v>
      </c>
      <c r="P19" s="50">
        <f aca="true" t="shared" si="11" ref="P19:P29">N19/M19*100</f>
        <v>-566.34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 t="e">
        <f t="shared" si="8"/>
        <v>#DIV/0!</v>
      </c>
      <c r="I20" s="50">
        <f t="shared" si="9"/>
        <v>0</v>
      </c>
      <c r="J20" s="50" t="e">
        <f t="shared" si="10"/>
        <v>#DIV/0!</v>
      </c>
      <c r="K20" s="50">
        <f aca="true" t="shared" si="12" ref="K20:K28">F20-194.7</f>
        <v>-194.7</v>
      </c>
      <c r="L20" s="50">
        <f aca="true" t="shared" si="13" ref="L20:L28">F20/194.7*100</f>
        <v>0</v>
      </c>
      <c r="M20" s="35">
        <f t="shared" si="6"/>
        <v>0</v>
      </c>
      <c r="N20" s="35">
        <f t="shared" si="7"/>
        <v>0</v>
      </c>
      <c r="O20" s="47">
        <f t="shared" si="3"/>
        <v>0</v>
      </c>
      <c r="P20" s="50" t="e">
        <f t="shared" si="11"/>
        <v>#DIV/0!</v>
      </c>
      <c r="Q20" s="50">
        <f aca="true" t="shared" si="14" ref="Q20:Q28">N20-194.7</f>
        <v>-194.7</v>
      </c>
      <c r="R20" s="126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 t="e">
        <f t="shared" si="8"/>
        <v>#DIV/0!</v>
      </c>
      <c r="I21" s="50">
        <f t="shared" si="9"/>
        <v>0</v>
      </c>
      <c r="J21" s="50" t="e">
        <f t="shared" si="10"/>
        <v>#DIV/0!</v>
      </c>
      <c r="K21" s="50">
        <f t="shared" si="12"/>
        <v>-194.7</v>
      </c>
      <c r="L21" s="50">
        <f t="shared" si="13"/>
        <v>0</v>
      </c>
      <c r="M21" s="35">
        <f t="shared" si="6"/>
        <v>0</v>
      </c>
      <c r="N21" s="35">
        <f t="shared" si="7"/>
        <v>0</v>
      </c>
      <c r="O21" s="47">
        <f t="shared" si="3"/>
        <v>0</v>
      </c>
      <c r="P21" s="50" t="e">
        <f t="shared" si="11"/>
        <v>#DIV/0!</v>
      </c>
      <c r="Q21" s="50">
        <f t="shared" si="14"/>
        <v>-194.7</v>
      </c>
      <c r="R21" s="126">
        <f t="shared" si="15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 t="e">
        <f t="shared" si="8"/>
        <v>#DIV/0!</v>
      </c>
      <c r="I22" s="50">
        <f t="shared" si="9"/>
        <v>0</v>
      </c>
      <c r="J22" s="50" t="e">
        <f t="shared" si="10"/>
        <v>#DIV/0!</v>
      </c>
      <c r="K22" s="50">
        <f t="shared" si="12"/>
        <v>-194.7</v>
      </c>
      <c r="L22" s="50">
        <f t="shared" si="13"/>
        <v>0</v>
      </c>
      <c r="M22" s="35">
        <f t="shared" si="6"/>
        <v>0</v>
      </c>
      <c r="N22" s="35">
        <f t="shared" si="7"/>
        <v>0</v>
      </c>
      <c r="O22" s="47">
        <f t="shared" si="3"/>
        <v>0</v>
      </c>
      <c r="P22" s="50" t="e">
        <f t="shared" si="11"/>
        <v>#DIV/0!</v>
      </c>
      <c r="Q22" s="50">
        <f t="shared" si="14"/>
        <v>-194.7</v>
      </c>
      <c r="R22" s="126">
        <f t="shared" si="15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 t="e">
        <f t="shared" si="8"/>
        <v>#DIV/0!</v>
      </c>
      <c r="I23" s="50">
        <f t="shared" si="9"/>
        <v>0</v>
      </c>
      <c r="J23" s="50" t="e">
        <f t="shared" si="10"/>
        <v>#DIV/0!</v>
      </c>
      <c r="K23" s="50">
        <f t="shared" si="12"/>
        <v>-194.7</v>
      </c>
      <c r="L23" s="50">
        <f t="shared" si="13"/>
        <v>0</v>
      </c>
      <c r="M23" s="35">
        <f t="shared" si="6"/>
        <v>0</v>
      </c>
      <c r="N23" s="35">
        <f t="shared" si="7"/>
        <v>0</v>
      </c>
      <c r="O23" s="47">
        <f t="shared" si="3"/>
        <v>0</v>
      </c>
      <c r="P23" s="50" t="e">
        <f t="shared" si="11"/>
        <v>#DIV/0!</v>
      </c>
      <c r="Q23" s="50">
        <f t="shared" si="14"/>
        <v>-194.7</v>
      </c>
      <c r="R23" s="126">
        <f t="shared" si="15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 t="e">
        <f t="shared" si="8"/>
        <v>#DIV/0!</v>
      </c>
      <c r="I24" s="50">
        <f t="shared" si="9"/>
        <v>0</v>
      </c>
      <c r="J24" s="50" t="e">
        <f t="shared" si="10"/>
        <v>#DIV/0!</v>
      </c>
      <c r="K24" s="50">
        <f t="shared" si="12"/>
        <v>-194.7</v>
      </c>
      <c r="L24" s="50">
        <f t="shared" si="13"/>
        <v>0</v>
      </c>
      <c r="M24" s="35">
        <f t="shared" si="6"/>
        <v>0</v>
      </c>
      <c r="N24" s="35">
        <f t="shared" si="7"/>
        <v>0</v>
      </c>
      <c r="O24" s="47">
        <f t="shared" si="3"/>
        <v>0</v>
      </c>
      <c r="P24" s="50" t="e">
        <f t="shared" si="11"/>
        <v>#DIV/0!</v>
      </c>
      <c r="Q24" s="50">
        <f t="shared" si="14"/>
        <v>-194.7</v>
      </c>
      <c r="R24" s="126">
        <f t="shared" si="15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 t="e">
        <f t="shared" si="8"/>
        <v>#DIV/0!</v>
      </c>
      <c r="I25" s="50">
        <f t="shared" si="9"/>
        <v>0</v>
      </c>
      <c r="J25" s="50" t="e">
        <f t="shared" si="10"/>
        <v>#DIV/0!</v>
      </c>
      <c r="K25" s="50">
        <f t="shared" si="12"/>
        <v>-194.7</v>
      </c>
      <c r="L25" s="50">
        <f t="shared" si="13"/>
        <v>0</v>
      </c>
      <c r="M25" s="35">
        <f t="shared" si="6"/>
        <v>0</v>
      </c>
      <c r="N25" s="35">
        <f t="shared" si="7"/>
        <v>0</v>
      </c>
      <c r="O25" s="47">
        <f t="shared" si="3"/>
        <v>0</v>
      </c>
      <c r="P25" s="50" t="e">
        <f t="shared" si="11"/>
        <v>#DIV/0!</v>
      </c>
      <c r="Q25" s="50">
        <f t="shared" si="14"/>
        <v>-194.7</v>
      </c>
      <c r="R25" s="126">
        <f t="shared" si="15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 t="e">
        <f t="shared" si="8"/>
        <v>#DIV/0!</v>
      </c>
      <c r="I26" s="50">
        <f t="shared" si="9"/>
        <v>0</v>
      </c>
      <c r="J26" s="50" t="e">
        <f t="shared" si="10"/>
        <v>#DIV/0!</v>
      </c>
      <c r="K26" s="50">
        <f t="shared" si="12"/>
        <v>-194.7</v>
      </c>
      <c r="L26" s="50">
        <f t="shared" si="13"/>
        <v>0</v>
      </c>
      <c r="M26" s="35">
        <f t="shared" si="6"/>
        <v>0</v>
      </c>
      <c r="N26" s="35">
        <f t="shared" si="7"/>
        <v>0</v>
      </c>
      <c r="O26" s="47">
        <f t="shared" si="3"/>
        <v>0</v>
      </c>
      <c r="P26" s="50" t="e">
        <f t="shared" si="11"/>
        <v>#DIV/0!</v>
      </c>
      <c r="Q26" s="50">
        <f t="shared" si="14"/>
        <v>-194.7</v>
      </c>
      <c r="R26" s="126">
        <f t="shared" si="15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 t="e">
        <f t="shared" si="8"/>
        <v>#DIV/0!</v>
      </c>
      <c r="I27" s="50">
        <f t="shared" si="9"/>
        <v>0</v>
      </c>
      <c r="J27" s="50" t="e">
        <f t="shared" si="10"/>
        <v>#DIV/0!</v>
      </c>
      <c r="K27" s="50">
        <f t="shared" si="12"/>
        <v>-194.7</v>
      </c>
      <c r="L27" s="50">
        <f t="shared" si="13"/>
        <v>0</v>
      </c>
      <c r="M27" s="35">
        <f t="shared" si="6"/>
        <v>0</v>
      </c>
      <c r="N27" s="35">
        <f t="shared" si="7"/>
        <v>0</v>
      </c>
      <c r="O27" s="47">
        <f t="shared" si="3"/>
        <v>0</v>
      </c>
      <c r="P27" s="50" t="e">
        <f t="shared" si="11"/>
        <v>#DIV/0!</v>
      </c>
      <c r="Q27" s="50">
        <f t="shared" si="14"/>
        <v>-194.7</v>
      </c>
      <c r="R27" s="126">
        <f t="shared" si="15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 t="e">
        <f t="shared" si="8"/>
        <v>#DIV/0!</v>
      </c>
      <c r="I28" s="50">
        <f t="shared" si="9"/>
        <v>0</v>
      </c>
      <c r="J28" s="50" t="e">
        <f t="shared" si="10"/>
        <v>#DIV/0!</v>
      </c>
      <c r="K28" s="50">
        <f t="shared" si="12"/>
        <v>-194.7</v>
      </c>
      <c r="L28" s="50">
        <f t="shared" si="13"/>
        <v>0</v>
      </c>
      <c r="M28" s="35">
        <f t="shared" si="6"/>
        <v>0</v>
      </c>
      <c r="N28" s="35">
        <f t="shared" si="7"/>
        <v>0</v>
      </c>
      <c r="O28" s="47">
        <f t="shared" si="3"/>
        <v>0</v>
      </c>
      <c r="P28" s="50" t="e">
        <f t="shared" si="11"/>
        <v>#DIV/0!</v>
      </c>
      <c r="Q28" s="50">
        <f t="shared" si="14"/>
        <v>-194.7</v>
      </c>
      <c r="R28" s="126">
        <f t="shared" si="15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400</v>
      </c>
      <c r="E29" s="135">
        <v>100</v>
      </c>
      <c r="F29" s="144">
        <v>-438.35</v>
      </c>
      <c r="G29" s="43">
        <f t="shared" si="0"/>
        <v>-538.35</v>
      </c>
      <c r="H29" s="35">
        <f t="shared" si="8"/>
        <v>-438.3500000000001</v>
      </c>
      <c r="I29" s="50"/>
      <c r="J29" s="50"/>
      <c r="K29" s="136">
        <f>F29-358.79</f>
        <v>-797.1400000000001</v>
      </c>
      <c r="L29" s="136">
        <f>F29/358.79*100</f>
        <v>-122.17453106273865</v>
      </c>
      <c r="M29" s="35">
        <f t="shared" si="6"/>
        <v>100</v>
      </c>
      <c r="N29" s="35">
        <f t="shared" si="7"/>
        <v>-438.35</v>
      </c>
      <c r="O29" s="47">
        <f t="shared" si="3"/>
        <v>-538.35</v>
      </c>
      <c r="P29" s="50">
        <f t="shared" si="11"/>
        <v>-438.3500000000001</v>
      </c>
      <c r="Q29" s="136">
        <f>N29-358.81</f>
        <v>-797.1600000000001</v>
      </c>
      <c r="R29" s="141">
        <f>N29/358.79</f>
        <v>-1.2217453106273866</v>
      </c>
    </row>
    <row r="30" spans="1:18" s="6" customFormat="1" ht="15.75">
      <c r="A30" s="8"/>
      <c r="B30" s="15" t="s">
        <v>29</v>
      </c>
      <c r="C30" s="59">
        <v>13030200</v>
      </c>
      <c r="D30" s="36">
        <v>0</v>
      </c>
      <c r="E30" s="36">
        <v>0</v>
      </c>
      <c r="F30" s="143">
        <v>0.12</v>
      </c>
      <c r="G30" s="43">
        <f t="shared" si="0"/>
        <v>0.12</v>
      </c>
      <c r="H30" s="35"/>
      <c r="I30" s="50"/>
      <c r="J30" s="50"/>
      <c r="K30" s="50">
        <f>F30-0</f>
        <v>0.12</v>
      </c>
      <c r="L30" s="50"/>
      <c r="M30" s="35">
        <f t="shared" si="6"/>
        <v>0</v>
      </c>
      <c r="N30" s="35">
        <f t="shared" si="7"/>
        <v>0.12</v>
      </c>
      <c r="O30" s="47">
        <f t="shared" si="3"/>
        <v>0.12</v>
      </c>
      <c r="P30" s="50"/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/>
      <c r="H31" s="35" t="e">
        <f>F31/E31*100</f>
        <v>#DIV/0!</v>
      </c>
      <c r="I31" s="50">
        <f>F31-D31</f>
        <v>0</v>
      </c>
      <c r="J31" s="50" t="e">
        <f>F31/D31*100</f>
        <v>#DIV/0!</v>
      </c>
      <c r="K31" s="50"/>
      <c r="L31" s="50">
        <f>F31</f>
        <v>0</v>
      </c>
      <c r="M31" s="35">
        <f t="shared" si="6"/>
        <v>0</v>
      </c>
      <c r="N31" s="35">
        <f t="shared" si="7"/>
        <v>0</v>
      </c>
      <c r="O31" s="47">
        <f t="shared" si="3"/>
        <v>0</v>
      </c>
      <c r="P31" s="50" t="e">
        <f>N31/M31*100</f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/>
      <c r="H32" s="35"/>
      <c r="I32" s="50"/>
      <c r="J32" s="50"/>
      <c r="K32" s="50"/>
      <c r="L32" s="50">
        <f>F32</f>
        <v>0</v>
      </c>
      <c r="M32" s="35">
        <f t="shared" si="6"/>
        <v>0</v>
      </c>
      <c r="N32" s="35">
        <f t="shared" si="7"/>
        <v>0</v>
      </c>
      <c r="O32" s="47">
        <f t="shared" si="3"/>
        <v>0</v>
      </c>
      <c r="P32" s="50"/>
      <c r="Q32" s="50"/>
      <c r="R32" s="126"/>
    </row>
    <row r="33" spans="1:18" s="6" customFormat="1" ht="15.75">
      <c r="A33" s="8"/>
      <c r="B33" s="15" t="s">
        <v>32</v>
      </c>
      <c r="C33" s="59">
        <v>13050000</v>
      </c>
      <c r="D33" s="36">
        <v>41580</v>
      </c>
      <c r="E33" s="36">
        <v>6680</v>
      </c>
      <c r="F33" s="143">
        <v>6498.01</v>
      </c>
      <c r="G33" s="43">
        <f aca="true" t="shared" si="16" ref="G33:G55">F33-E33</f>
        <v>-181.98999999999978</v>
      </c>
      <c r="H33" s="35">
        <f aca="true" t="shared" si="17" ref="H33:H55">F33/E33*100</f>
        <v>97.27559880239521</v>
      </c>
      <c r="I33" s="50">
        <f>F33-D33</f>
        <v>-35081.99</v>
      </c>
      <c r="J33" s="50">
        <f aca="true" t="shared" si="18" ref="J33:J55">F33/D33*100</f>
        <v>15.627729677729679</v>
      </c>
      <c r="K33" s="132">
        <f>F33-6293.29</f>
        <v>204.72000000000025</v>
      </c>
      <c r="L33" s="132">
        <f>F33/6293.29*100</f>
        <v>103.25298850045048</v>
      </c>
      <c r="M33" s="35">
        <f t="shared" si="6"/>
        <v>6680</v>
      </c>
      <c r="N33" s="35">
        <f t="shared" si="7"/>
        <v>6498.01</v>
      </c>
      <c r="O33" s="47">
        <f t="shared" si="3"/>
        <v>-181.98999999999978</v>
      </c>
      <c r="P33" s="50">
        <f aca="true" t="shared" si="19" ref="P33:P55">N33/M33*100</f>
        <v>97.27559880239521</v>
      </c>
      <c r="Q33" s="132">
        <f>N33-6293.29</f>
        <v>204.72000000000025</v>
      </c>
      <c r="R33" s="133">
        <f>N33/6293.29</f>
        <v>1.0325298850045048</v>
      </c>
    </row>
    <row r="34" spans="1:18" s="6" customFormat="1" ht="15.75" hidden="1">
      <c r="A34" s="8"/>
      <c r="B34" s="14" t="s">
        <v>33</v>
      </c>
      <c r="C34" s="58">
        <v>13050100</v>
      </c>
      <c r="D34" s="36">
        <v>0</v>
      </c>
      <c r="E34" s="36">
        <v>0</v>
      </c>
      <c r="F34" s="143">
        <v>0</v>
      </c>
      <c r="G34" s="43">
        <f t="shared" si="16"/>
        <v>0</v>
      </c>
      <c r="H34" s="35" t="e">
        <f t="shared" si="17"/>
        <v>#DIV/0!</v>
      </c>
      <c r="I34" s="50">
        <f aca="true" t="shared" si="20" ref="I34:I55">F34-D34</f>
        <v>0</v>
      </c>
      <c r="J34" s="50" t="e">
        <f t="shared" si="18"/>
        <v>#DIV/0!</v>
      </c>
      <c r="K34" s="50">
        <f aca="true" t="shared" si="21" ref="K34:K54">F34-6172.8</f>
        <v>-6172.8</v>
      </c>
      <c r="L34" s="50">
        <f aca="true" t="shared" si="22" ref="L34:L54">F34/6172.8*100</f>
        <v>0</v>
      </c>
      <c r="M34" s="35">
        <f t="shared" si="6"/>
        <v>0</v>
      </c>
      <c r="N34" s="35">
        <f t="shared" si="7"/>
        <v>0</v>
      </c>
      <c r="O34" s="47">
        <f t="shared" si="3"/>
        <v>0</v>
      </c>
      <c r="P34" s="50" t="e">
        <f t="shared" si="19"/>
        <v>#DIV/0!</v>
      </c>
      <c r="Q34" s="132">
        <f aca="true" t="shared" si="23" ref="Q34:Q54">N34-6172.8</f>
        <v>-6172.8</v>
      </c>
      <c r="R34" s="133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58">
        <v>13050200</v>
      </c>
      <c r="D35" s="36">
        <v>0</v>
      </c>
      <c r="E35" s="36">
        <v>0</v>
      </c>
      <c r="F35" s="143">
        <v>0</v>
      </c>
      <c r="G35" s="43">
        <f t="shared" si="16"/>
        <v>0</v>
      </c>
      <c r="H35" s="35" t="e">
        <f t="shared" si="17"/>
        <v>#DIV/0!</v>
      </c>
      <c r="I35" s="50">
        <f t="shared" si="20"/>
        <v>0</v>
      </c>
      <c r="J35" s="50" t="e">
        <f t="shared" si="18"/>
        <v>#DIV/0!</v>
      </c>
      <c r="K35" s="50">
        <f t="shared" si="21"/>
        <v>-6172.8</v>
      </c>
      <c r="L35" s="50">
        <f t="shared" si="22"/>
        <v>0</v>
      </c>
      <c r="M35" s="35">
        <f t="shared" si="6"/>
        <v>0</v>
      </c>
      <c r="N35" s="35">
        <f t="shared" si="7"/>
        <v>0</v>
      </c>
      <c r="O35" s="47">
        <f t="shared" si="3"/>
        <v>0</v>
      </c>
      <c r="P35" s="50" t="e">
        <f t="shared" si="19"/>
        <v>#DIV/0!</v>
      </c>
      <c r="Q35" s="132">
        <f t="shared" si="23"/>
        <v>-6172.8</v>
      </c>
      <c r="R35" s="133">
        <f t="shared" si="24"/>
        <v>0</v>
      </c>
    </row>
    <row r="36" spans="1:18" s="6" customFormat="1" ht="15.75" hidden="1">
      <c r="A36" s="8"/>
      <c r="B36" s="14" t="s">
        <v>35</v>
      </c>
      <c r="C36" s="58">
        <v>13050300</v>
      </c>
      <c r="D36" s="36">
        <v>0</v>
      </c>
      <c r="E36" s="36">
        <v>0</v>
      </c>
      <c r="F36" s="143">
        <v>0</v>
      </c>
      <c r="G36" s="43">
        <f t="shared" si="16"/>
        <v>0</v>
      </c>
      <c r="H36" s="35" t="e">
        <f t="shared" si="17"/>
        <v>#DIV/0!</v>
      </c>
      <c r="I36" s="50">
        <f t="shared" si="20"/>
        <v>0</v>
      </c>
      <c r="J36" s="50" t="e">
        <f t="shared" si="18"/>
        <v>#DIV/0!</v>
      </c>
      <c r="K36" s="50">
        <f t="shared" si="21"/>
        <v>-6172.8</v>
      </c>
      <c r="L36" s="50">
        <f t="shared" si="22"/>
        <v>0</v>
      </c>
      <c r="M36" s="35">
        <f t="shared" si="6"/>
        <v>0</v>
      </c>
      <c r="N36" s="35">
        <f t="shared" si="7"/>
        <v>0</v>
      </c>
      <c r="O36" s="47">
        <f t="shared" si="3"/>
        <v>0</v>
      </c>
      <c r="P36" s="50" t="e">
        <f t="shared" si="19"/>
        <v>#DIV/0!</v>
      </c>
      <c r="Q36" s="132">
        <f t="shared" si="23"/>
        <v>-6172.8</v>
      </c>
      <c r="R36" s="133">
        <f t="shared" si="24"/>
        <v>0</v>
      </c>
    </row>
    <row r="37" spans="1:18" s="6" customFormat="1" ht="31.5" hidden="1">
      <c r="A37" s="8"/>
      <c r="B37" s="14" t="s">
        <v>36</v>
      </c>
      <c r="C37" s="58">
        <v>13050400</v>
      </c>
      <c r="D37" s="36">
        <v>0</v>
      </c>
      <c r="E37" s="36">
        <v>0</v>
      </c>
      <c r="F37" s="143">
        <v>0</v>
      </c>
      <c r="G37" s="43">
        <f t="shared" si="16"/>
        <v>0</v>
      </c>
      <c r="H37" s="35" t="e">
        <f t="shared" si="17"/>
        <v>#DIV/0!</v>
      </c>
      <c r="I37" s="50">
        <f t="shared" si="20"/>
        <v>0</v>
      </c>
      <c r="J37" s="50" t="e">
        <f t="shared" si="18"/>
        <v>#DIV/0!</v>
      </c>
      <c r="K37" s="50">
        <f t="shared" si="21"/>
        <v>-6172.8</v>
      </c>
      <c r="L37" s="50">
        <f t="shared" si="22"/>
        <v>0</v>
      </c>
      <c r="M37" s="35">
        <f t="shared" si="6"/>
        <v>0</v>
      </c>
      <c r="N37" s="35">
        <f t="shared" si="7"/>
        <v>0</v>
      </c>
      <c r="O37" s="47">
        <f t="shared" si="3"/>
        <v>0</v>
      </c>
      <c r="P37" s="50" t="e">
        <f t="shared" si="19"/>
        <v>#DIV/0!</v>
      </c>
      <c r="Q37" s="132">
        <f t="shared" si="23"/>
        <v>-6172.8</v>
      </c>
      <c r="R37" s="133">
        <f t="shared" si="24"/>
        <v>0</v>
      </c>
    </row>
    <row r="38" spans="1:18" s="6" customFormat="1" ht="15.75" hidden="1">
      <c r="A38" s="8"/>
      <c r="B38" s="14" t="s">
        <v>37</v>
      </c>
      <c r="C38" s="58">
        <v>13050500</v>
      </c>
      <c r="D38" s="36">
        <v>0</v>
      </c>
      <c r="E38" s="36">
        <v>0</v>
      </c>
      <c r="F38" s="143">
        <v>0</v>
      </c>
      <c r="G38" s="43">
        <f t="shared" si="16"/>
        <v>0</v>
      </c>
      <c r="H38" s="35" t="e">
        <f t="shared" si="17"/>
        <v>#DIV/0!</v>
      </c>
      <c r="I38" s="50">
        <f t="shared" si="20"/>
        <v>0</v>
      </c>
      <c r="J38" s="50" t="e">
        <f t="shared" si="18"/>
        <v>#DIV/0!</v>
      </c>
      <c r="K38" s="50">
        <f t="shared" si="21"/>
        <v>-6172.8</v>
      </c>
      <c r="L38" s="50">
        <f t="shared" si="22"/>
        <v>0</v>
      </c>
      <c r="M38" s="35">
        <f t="shared" si="6"/>
        <v>0</v>
      </c>
      <c r="N38" s="35">
        <f t="shared" si="7"/>
        <v>0</v>
      </c>
      <c r="O38" s="47">
        <f t="shared" si="3"/>
        <v>0</v>
      </c>
      <c r="P38" s="50" t="e">
        <f t="shared" si="19"/>
        <v>#DIV/0!</v>
      </c>
      <c r="Q38" s="132">
        <f t="shared" si="23"/>
        <v>-6172.8</v>
      </c>
      <c r="R38" s="133">
        <f t="shared" si="24"/>
        <v>0</v>
      </c>
    </row>
    <row r="39" spans="1:18" s="6" customFormat="1" ht="31.5" hidden="1">
      <c r="A39" s="8"/>
      <c r="B39" s="14" t="s">
        <v>38</v>
      </c>
      <c r="C39" s="58">
        <v>13050600</v>
      </c>
      <c r="D39" s="36">
        <v>0</v>
      </c>
      <c r="E39" s="36">
        <v>0</v>
      </c>
      <c r="F39" s="143">
        <v>0</v>
      </c>
      <c r="G39" s="43">
        <f t="shared" si="16"/>
        <v>0</v>
      </c>
      <c r="H39" s="35" t="e">
        <f t="shared" si="17"/>
        <v>#DIV/0!</v>
      </c>
      <c r="I39" s="50">
        <f t="shared" si="20"/>
        <v>0</v>
      </c>
      <c r="J39" s="50" t="e">
        <f t="shared" si="18"/>
        <v>#DIV/0!</v>
      </c>
      <c r="K39" s="50">
        <f t="shared" si="21"/>
        <v>-6172.8</v>
      </c>
      <c r="L39" s="50">
        <f t="shared" si="22"/>
        <v>0</v>
      </c>
      <c r="M39" s="35">
        <f t="shared" si="6"/>
        <v>0</v>
      </c>
      <c r="N39" s="35">
        <f t="shared" si="7"/>
        <v>0</v>
      </c>
      <c r="O39" s="47">
        <f t="shared" si="3"/>
        <v>0</v>
      </c>
      <c r="P39" s="50" t="e">
        <f t="shared" si="19"/>
        <v>#DIV/0!</v>
      </c>
      <c r="Q39" s="132">
        <f t="shared" si="23"/>
        <v>-6172.8</v>
      </c>
      <c r="R39" s="133">
        <f t="shared" si="24"/>
        <v>0</v>
      </c>
    </row>
    <row r="40" spans="1:18" s="6" customFormat="1" ht="15.75" hidden="1">
      <c r="A40" s="8"/>
      <c r="B40" s="11" t="s">
        <v>39</v>
      </c>
      <c r="C40" s="57">
        <v>14000000</v>
      </c>
      <c r="D40" s="36">
        <v>0</v>
      </c>
      <c r="E40" s="36">
        <v>0</v>
      </c>
      <c r="F40" s="143">
        <v>0</v>
      </c>
      <c r="G40" s="43">
        <f t="shared" si="16"/>
        <v>0</v>
      </c>
      <c r="H40" s="35" t="e">
        <f t="shared" si="17"/>
        <v>#DIV/0!</v>
      </c>
      <c r="I40" s="50">
        <f t="shared" si="20"/>
        <v>0</v>
      </c>
      <c r="J40" s="50" t="e">
        <f t="shared" si="18"/>
        <v>#DIV/0!</v>
      </c>
      <c r="K40" s="50">
        <f t="shared" si="21"/>
        <v>-6172.8</v>
      </c>
      <c r="L40" s="50">
        <f t="shared" si="22"/>
        <v>0</v>
      </c>
      <c r="M40" s="35">
        <f t="shared" si="6"/>
        <v>0</v>
      </c>
      <c r="N40" s="35">
        <f t="shared" si="7"/>
        <v>0</v>
      </c>
      <c r="O40" s="47">
        <f t="shared" si="3"/>
        <v>0</v>
      </c>
      <c r="P40" s="50" t="e">
        <f t="shared" si="19"/>
        <v>#DIV/0!</v>
      </c>
      <c r="Q40" s="132">
        <f t="shared" si="23"/>
        <v>-6172.8</v>
      </c>
      <c r="R40" s="133">
        <f t="shared" si="24"/>
        <v>0</v>
      </c>
    </row>
    <row r="41" spans="1:18" s="6" customFormat="1" ht="15.75" hidden="1">
      <c r="A41" s="8"/>
      <c r="B41" s="12" t="s">
        <v>40</v>
      </c>
      <c r="C41" s="59">
        <v>14020000</v>
      </c>
      <c r="D41" s="36">
        <v>0</v>
      </c>
      <c r="E41" s="36">
        <v>0</v>
      </c>
      <c r="F41" s="143">
        <v>0</v>
      </c>
      <c r="G41" s="43">
        <f t="shared" si="16"/>
        <v>0</v>
      </c>
      <c r="H41" s="35" t="e">
        <f t="shared" si="17"/>
        <v>#DIV/0!</v>
      </c>
      <c r="I41" s="50">
        <f t="shared" si="20"/>
        <v>0</v>
      </c>
      <c r="J41" s="50" t="e">
        <f t="shared" si="18"/>
        <v>#DIV/0!</v>
      </c>
      <c r="K41" s="50">
        <f t="shared" si="21"/>
        <v>-6172.8</v>
      </c>
      <c r="L41" s="50">
        <f t="shared" si="22"/>
        <v>0</v>
      </c>
      <c r="M41" s="35">
        <f t="shared" si="6"/>
        <v>0</v>
      </c>
      <c r="N41" s="35">
        <f t="shared" si="7"/>
        <v>0</v>
      </c>
      <c r="O41" s="47">
        <f t="shared" si="3"/>
        <v>0</v>
      </c>
      <c r="P41" s="50" t="e">
        <f t="shared" si="19"/>
        <v>#DIV/0!</v>
      </c>
      <c r="Q41" s="132">
        <f t="shared" si="23"/>
        <v>-6172.8</v>
      </c>
      <c r="R41" s="133">
        <f t="shared" si="24"/>
        <v>0</v>
      </c>
    </row>
    <row r="42" spans="1:18" s="6" customFormat="1" ht="15.75" hidden="1">
      <c r="A42" s="8"/>
      <c r="B42" s="14" t="s">
        <v>41</v>
      </c>
      <c r="C42" s="58">
        <v>14020100</v>
      </c>
      <c r="D42" s="36">
        <v>0</v>
      </c>
      <c r="E42" s="36">
        <v>0</v>
      </c>
      <c r="F42" s="143">
        <v>0</v>
      </c>
      <c r="G42" s="43">
        <f t="shared" si="16"/>
        <v>0</v>
      </c>
      <c r="H42" s="35" t="e">
        <f t="shared" si="17"/>
        <v>#DIV/0!</v>
      </c>
      <c r="I42" s="50">
        <f t="shared" si="20"/>
        <v>0</v>
      </c>
      <c r="J42" s="50" t="e">
        <f t="shared" si="18"/>
        <v>#DIV/0!</v>
      </c>
      <c r="K42" s="50">
        <f t="shared" si="21"/>
        <v>-6172.8</v>
      </c>
      <c r="L42" s="50">
        <f t="shared" si="22"/>
        <v>0</v>
      </c>
      <c r="M42" s="35">
        <f t="shared" si="6"/>
        <v>0</v>
      </c>
      <c r="N42" s="35">
        <f t="shared" si="7"/>
        <v>0</v>
      </c>
      <c r="O42" s="47">
        <f t="shared" si="3"/>
        <v>0</v>
      </c>
      <c r="P42" s="50" t="e">
        <f t="shared" si="19"/>
        <v>#DIV/0!</v>
      </c>
      <c r="Q42" s="132">
        <f t="shared" si="23"/>
        <v>-6172.8</v>
      </c>
      <c r="R42" s="133">
        <f t="shared" si="24"/>
        <v>0</v>
      </c>
    </row>
    <row r="43" spans="1:18" s="6" customFormat="1" ht="15.75" hidden="1">
      <c r="A43" s="8"/>
      <c r="B43" s="14" t="s">
        <v>42</v>
      </c>
      <c r="C43" s="58">
        <v>14020200</v>
      </c>
      <c r="D43" s="36">
        <v>0</v>
      </c>
      <c r="E43" s="36">
        <v>0</v>
      </c>
      <c r="F43" s="143">
        <v>0</v>
      </c>
      <c r="G43" s="43">
        <f t="shared" si="16"/>
        <v>0</v>
      </c>
      <c r="H43" s="35" t="e">
        <f t="shared" si="17"/>
        <v>#DIV/0!</v>
      </c>
      <c r="I43" s="50">
        <f t="shared" si="20"/>
        <v>0</v>
      </c>
      <c r="J43" s="50" t="e">
        <f t="shared" si="18"/>
        <v>#DIV/0!</v>
      </c>
      <c r="K43" s="50">
        <f t="shared" si="21"/>
        <v>-6172.8</v>
      </c>
      <c r="L43" s="50">
        <f t="shared" si="22"/>
        <v>0</v>
      </c>
      <c r="M43" s="35">
        <f t="shared" si="6"/>
        <v>0</v>
      </c>
      <c r="N43" s="35">
        <f t="shared" si="7"/>
        <v>0</v>
      </c>
      <c r="O43" s="47">
        <f t="shared" si="3"/>
        <v>0</v>
      </c>
      <c r="P43" s="50" t="e">
        <f t="shared" si="19"/>
        <v>#DIV/0!</v>
      </c>
      <c r="Q43" s="132">
        <f t="shared" si="23"/>
        <v>-6172.8</v>
      </c>
      <c r="R43" s="133">
        <f t="shared" si="24"/>
        <v>0</v>
      </c>
    </row>
    <row r="44" spans="1:18" s="6" customFormat="1" ht="15.75" hidden="1">
      <c r="A44" s="8"/>
      <c r="B44" s="14" t="s">
        <v>43</v>
      </c>
      <c r="C44" s="58">
        <v>14020300</v>
      </c>
      <c r="D44" s="36">
        <v>0</v>
      </c>
      <c r="E44" s="36">
        <v>0</v>
      </c>
      <c r="F44" s="143">
        <v>0</v>
      </c>
      <c r="G44" s="43">
        <f t="shared" si="16"/>
        <v>0</v>
      </c>
      <c r="H44" s="35" t="e">
        <f t="shared" si="17"/>
        <v>#DIV/0!</v>
      </c>
      <c r="I44" s="50">
        <f t="shared" si="20"/>
        <v>0</v>
      </c>
      <c r="J44" s="50" t="e">
        <f t="shared" si="18"/>
        <v>#DIV/0!</v>
      </c>
      <c r="K44" s="50">
        <f t="shared" si="21"/>
        <v>-6172.8</v>
      </c>
      <c r="L44" s="50">
        <f t="shared" si="22"/>
        <v>0</v>
      </c>
      <c r="M44" s="35">
        <f t="shared" si="6"/>
        <v>0</v>
      </c>
      <c r="N44" s="35">
        <f t="shared" si="7"/>
        <v>0</v>
      </c>
      <c r="O44" s="47">
        <f t="shared" si="3"/>
        <v>0</v>
      </c>
      <c r="P44" s="50" t="e">
        <f t="shared" si="19"/>
        <v>#DIV/0!</v>
      </c>
      <c r="Q44" s="132">
        <f t="shared" si="23"/>
        <v>-6172.8</v>
      </c>
      <c r="R44" s="133">
        <f t="shared" si="24"/>
        <v>0</v>
      </c>
    </row>
    <row r="45" spans="1:18" s="6" customFormat="1" ht="15.75" hidden="1">
      <c r="A45" s="8"/>
      <c r="B45" s="14" t="s">
        <v>44</v>
      </c>
      <c r="C45" s="58">
        <v>14020400</v>
      </c>
      <c r="D45" s="36">
        <v>0</v>
      </c>
      <c r="E45" s="36">
        <v>0</v>
      </c>
      <c r="F45" s="143">
        <v>0</v>
      </c>
      <c r="G45" s="43">
        <f t="shared" si="16"/>
        <v>0</v>
      </c>
      <c r="H45" s="35" t="e">
        <f t="shared" si="17"/>
        <v>#DIV/0!</v>
      </c>
      <c r="I45" s="50">
        <f t="shared" si="20"/>
        <v>0</v>
      </c>
      <c r="J45" s="50" t="e">
        <f t="shared" si="18"/>
        <v>#DIV/0!</v>
      </c>
      <c r="K45" s="50">
        <f t="shared" si="21"/>
        <v>-6172.8</v>
      </c>
      <c r="L45" s="50">
        <f t="shared" si="22"/>
        <v>0</v>
      </c>
      <c r="M45" s="35">
        <f t="shared" si="6"/>
        <v>0</v>
      </c>
      <c r="N45" s="35">
        <f t="shared" si="7"/>
        <v>0</v>
      </c>
      <c r="O45" s="47">
        <f t="shared" si="3"/>
        <v>0</v>
      </c>
      <c r="P45" s="50" t="e">
        <f t="shared" si="19"/>
        <v>#DIV/0!</v>
      </c>
      <c r="Q45" s="132">
        <f t="shared" si="23"/>
        <v>-6172.8</v>
      </c>
      <c r="R45" s="133">
        <f t="shared" si="24"/>
        <v>0</v>
      </c>
    </row>
    <row r="46" spans="1:18" s="6" customFormat="1" ht="15.75" hidden="1">
      <c r="A46" s="8"/>
      <c r="B46" s="14" t="s">
        <v>45</v>
      </c>
      <c r="C46" s="58">
        <v>14020700</v>
      </c>
      <c r="D46" s="36">
        <v>0</v>
      </c>
      <c r="E46" s="36">
        <v>0</v>
      </c>
      <c r="F46" s="143">
        <v>0</v>
      </c>
      <c r="G46" s="43">
        <f t="shared" si="16"/>
        <v>0</v>
      </c>
      <c r="H46" s="35" t="e">
        <f t="shared" si="17"/>
        <v>#DIV/0!</v>
      </c>
      <c r="I46" s="50">
        <f t="shared" si="20"/>
        <v>0</v>
      </c>
      <c r="J46" s="50" t="e">
        <f t="shared" si="18"/>
        <v>#DIV/0!</v>
      </c>
      <c r="K46" s="50">
        <f t="shared" si="21"/>
        <v>-6172.8</v>
      </c>
      <c r="L46" s="50">
        <f t="shared" si="22"/>
        <v>0</v>
      </c>
      <c r="M46" s="35">
        <f t="shared" si="6"/>
        <v>0</v>
      </c>
      <c r="N46" s="35">
        <f t="shared" si="7"/>
        <v>0</v>
      </c>
      <c r="O46" s="47">
        <f t="shared" si="3"/>
        <v>0</v>
      </c>
      <c r="P46" s="50" t="e">
        <f t="shared" si="19"/>
        <v>#DIV/0!</v>
      </c>
      <c r="Q46" s="132">
        <f t="shared" si="23"/>
        <v>-6172.8</v>
      </c>
      <c r="R46" s="133">
        <f t="shared" si="24"/>
        <v>0</v>
      </c>
    </row>
    <row r="47" spans="1:18" s="6" customFormat="1" ht="15.75" hidden="1">
      <c r="A47" s="8"/>
      <c r="B47" s="14" t="s">
        <v>46</v>
      </c>
      <c r="C47" s="58" t="s">
        <v>47</v>
      </c>
      <c r="D47" s="36">
        <v>0</v>
      </c>
      <c r="E47" s="36">
        <v>0</v>
      </c>
      <c r="F47" s="143">
        <v>0</v>
      </c>
      <c r="G47" s="43">
        <f t="shared" si="16"/>
        <v>0</v>
      </c>
      <c r="H47" s="35" t="e">
        <f t="shared" si="17"/>
        <v>#DIV/0!</v>
      </c>
      <c r="I47" s="50">
        <f t="shared" si="20"/>
        <v>0</v>
      </c>
      <c r="J47" s="50" t="e">
        <f t="shared" si="18"/>
        <v>#DIV/0!</v>
      </c>
      <c r="K47" s="50">
        <f t="shared" si="21"/>
        <v>-6172.8</v>
      </c>
      <c r="L47" s="50">
        <f t="shared" si="22"/>
        <v>0</v>
      </c>
      <c r="M47" s="35">
        <f t="shared" si="6"/>
        <v>0</v>
      </c>
      <c r="N47" s="35">
        <f t="shared" si="7"/>
        <v>0</v>
      </c>
      <c r="O47" s="47">
        <f t="shared" si="3"/>
        <v>0</v>
      </c>
      <c r="P47" s="50" t="e">
        <f t="shared" si="19"/>
        <v>#DIV/0!</v>
      </c>
      <c r="Q47" s="132">
        <f t="shared" si="23"/>
        <v>-6172.8</v>
      </c>
      <c r="R47" s="133">
        <f t="shared" si="24"/>
        <v>0</v>
      </c>
    </row>
    <row r="48" spans="1:18" s="6" customFormat="1" ht="15.75" hidden="1">
      <c r="A48" s="8"/>
      <c r="B48" s="14" t="s">
        <v>48</v>
      </c>
      <c r="C48" s="58" t="s">
        <v>49</v>
      </c>
      <c r="D48" s="36">
        <v>0</v>
      </c>
      <c r="E48" s="36">
        <v>0</v>
      </c>
      <c r="F48" s="143">
        <v>0</v>
      </c>
      <c r="G48" s="43">
        <f t="shared" si="16"/>
        <v>0</v>
      </c>
      <c r="H48" s="35" t="e">
        <f t="shared" si="17"/>
        <v>#DIV/0!</v>
      </c>
      <c r="I48" s="50">
        <f t="shared" si="20"/>
        <v>0</v>
      </c>
      <c r="J48" s="50" t="e">
        <f t="shared" si="18"/>
        <v>#DIV/0!</v>
      </c>
      <c r="K48" s="50">
        <f t="shared" si="21"/>
        <v>-6172.8</v>
      </c>
      <c r="L48" s="50">
        <f t="shared" si="22"/>
        <v>0</v>
      </c>
      <c r="M48" s="35">
        <f t="shared" si="6"/>
        <v>0</v>
      </c>
      <c r="N48" s="35">
        <f t="shared" si="7"/>
        <v>0</v>
      </c>
      <c r="O48" s="47">
        <f t="shared" si="3"/>
        <v>0</v>
      </c>
      <c r="P48" s="50" t="e">
        <f t="shared" si="19"/>
        <v>#DIV/0!</v>
      </c>
      <c r="Q48" s="132">
        <f t="shared" si="23"/>
        <v>-6172.8</v>
      </c>
      <c r="R48" s="133">
        <f t="shared" si="24"/>
        <v>0</v>
      </c>
    </row>
    <row r="49" spans="1:18" s="6" customFormat="1" ht="47.25" hidden="1">
      <c r="A49" s="8"/>
      <c r="B49" s="14" t="s">
        <v>50</v>
      </c>
      <c r="C49" s="58">
        <v>14022100</v>
      </c>
      <c r="D49" s="36">
        <v>0</v>
      </c>
      <c r="E49" s="36">
        <v>0</v>
      </c>
      <c r="F49" s="143">
        <v>0</v>
      </c>
      <c r="G49" s="43">
        <f t="shared" si="16"/>
        <v>0</v>
      </c>
      <c r="H49" s="35" t="e">
        <f t="shared" si="17"/>
        <v>#DIV/0!</v>
      </c>
      <c r="I49" s="50">
        <f t="shared" si="20"/>
        <v>0</v>
      </c>
      <c r="J49" s="50" t="e">
        <f t="shared" si="18"/>
        <v>#DIV/0!</v>
      </c>
      <c r="K49" s="50">
        <f t="shared" si="21"/>
        <v>-6172.8</v>
      </c>
      <c r="L49" s="50">
        <f t="shared" si="22"/>
        <v>0</v>
      </c>
      <c r="M49" s="35">
        <f t="shared" si="6"/>
        <v>0</v>
      </c>
      <c r="N49" s="35">
        <f t="shared" si="7"/>
        <v>0</v>
      </c>
      <c r="O49" s="47">
        <f t="shared" si="3"/>
        <v>0</v>
      </c>
      <c r="P49" s="50" t="e">
        <f t="shared" si="19"/>
        <v>#DIV/0!</v>
      </c>
      <c r="Q49" s="132">
        <f t="shared" si="23"/>
        <v>-6172.8</v>
      </c>
      <c r="R49" s="133">
        <f t="shared" si="24"/>
        <v>0</v>
      </c>
    </row>
    <row r="50" spans="1:18" s="6" customFormat="1" ht="31.5" hidden="1">
      <c r="A50" s="8"/>
      <c r="B50" s="12" t="s">
        <v>51</v>
      </c>
      <c r="C50" s="59">
        <v>14060000</v>
      </c>
      <c r="D50" s="36">
        <v>0</v>
      </c>
      <c r="E50" s="36">
        <v>0</v>
      </c>
      <c r="F50" s="143">
        <v>0</v>
      </c>
      <c r="G50" s="43">
        <f t="shared" si="16"/>
        <v>0</v>
      </c>
      <c r="H50" s="35" t="e">
        <f t="shared" si="17"/>
        <v>#DIV/0!</v>
      </c>
      <c r="I50" s="50">
        <f t="shared" si="20"/>
        <v>0</v>
      </c>
      <c r="J50" s="50" t="e">
        <f t="shared" si="18"/>
        <v>#DIV/0!</v>
      </c>
      <c r="K50" s="50">
        <f t="shared" si="21"/>
        <v>-6172.8</v>
      </c>
      <c r="L50" s="50">
        <f t="shared" si="22"/>
        <v>0</v>
      </c>
      <c r="M50" s="35">
        <f t="shared" si="6"/>
        <v>0</v>
      </c>
      <c r="N50" s="35">
        <f t="shared" si="7"/>
        <v>0</v>
      </c>
      <c r="O50" s="47">
        <f t="shared" si="3"/>
        <v>0</v>
      </c>
      <c r="P50" s="50" t="e">
        <f t="shared" si="19"/>
        <v>#DIV/0!</v>
      </c>
      <c r="Q50" s="132">
        <f t="shared" si="23"/>
        <v>-6172.8</v>
      </c>
      <c r="R50" s="133">
        <f t="shared" si="24"/>
        <v>0</v>
      </c>
    </row>
    <row r="51" spans="1:18" s="6" customFormat="1" ht="15.75" hidden="1">
      <c r="A51" s="8"/>
      <c r="B51" s="12" t="s">
        <v>120</v>
      </c>
      <c r="C51" s="59"/>
      <c r="D51" s="36">
        <v>0</v>
      </c>
      <c r="E51" s="36">
        <v>0</v>
      </c>
      <c r="F51" s="143">
        <v>0</v>
      </c>
      <c r="G51" s="43">
        <f t="shared" si="16"/>
        <v>0</v>
      </c>
      <c r="H51" s="35" t="e">
        <f t="shared" si="17"/>
        <v>#DIV/0!</v>
      </c>
      <c r="I51" s="50">
        <f t="shared" si="20"/>
        <v>0</v>
      </c>
      <c r="J51" s="50" t="e">
        <f t="shared" si="18"/>
        <v>#DIV/0!</v>
      </c>
      <c r="K51" s="50">
        <f t="shared" si="21"/>
        <v>-6172.8</v>
      </c>
      <c r="L51" s="50">
        <f t="shared" si="22"/>
        <v>0</v>
      </c>
      <c r="M51" s="35">
        <f t="shared" si="6"/>
        <v>0</v>
      </c>
      <c r="N51" s="35">
        <f t="shared" si="7"/>
        <v>0</v>
      </c>
      <c r="O51" s="47">
        <f t="shared" si="3"/>
        <v>0</v>
      </c>
      <c r="P51" s="50" t="e">
        <f t="shared" si="19"/>
        <v>#DIV/0!</v>
      </c>
      <c r="Q51" s="132">
        <f t="shared" si="23"/>
        <v>-6172.8</v>
      </c>
      <c r="R51" s="133">
        <f t="shared" si="24"/>
        <v>0</v>
      </c>
    </row>
    <row r="52" spans="1:18" s="6" customFormat="1" ht="15.75" hidden="1">
      <c r="A52" s="8"/>
      <c r="B52" s="15" t="s">
        <v>52</v>
      </c>
      <c r="C52" s="58">
        <v>14060100</v>
      </c>
      <c r="D52" s="36">
        <v>0</v>
      </c>
      <c r="E52" s="36">
        <v>0</v>
      </c>
      <c r="F52" s="143">
        <v>0</v>
      </c>
      <c r="G52" s="43">
        <f t="shared" si="16"/>
        <v>0</v>
      </c>
      <c r="H52" s="35" t="e">
        <f t="shared" si="17"/>
        <v>#DIV/0!</v>
      </c>
      <c r="I52" s="50">
        <f t="shared" si="20"/>
        <v>0</v>
      </c>
      <c r="J52" s="50" t="e">
        <f t="shared" si="18"/>
        <v>#DIV/0!</v>
      </c>
      <c r="K52" s="50">
        <f t="shared" si="21"/>
        <v>-6172.8</v>
      </c>
      <c r="L52" s="50">
        <f t="shared" si="22"/>
        <v>0</v>
      </c>
      <c r="M52" s="35">
        <f t="shared" si="6"/>
        <v>0</v>
      </c>
      <c r="N52" s="35">
        <f t="shared" si="7"/>
        <v>0</v>
      </c>
      <c r="O52" s="47">
        <f t="shared" si="3"/>
        <v>0</v>
      </c>
      <c r="P52" s="50" t="e">
        <f t="shared" si="19"/>
        <v>#DIV/0!</v>
      </c>
      <c r="Q52" s="132">
        <f t="shared" si="23"/>
        <v>-6172.8</v>
      </c>
      <c r="R52" s="133">
        <f t="shared" si="24"/>
        <v>0</v>
      </c>
    </row>
    <row r="53" spans="1:18" s="6" customFormat="1" ht="15.75" hidden="1">
      <c r="A53" s="8"/>
      <c r="B53" s="15" t="s">
        <v>52</v>
      </c>
      <c r="C53" s="58">
        <v>14060100</v>
      </c>
      <c r="D53" s="36">
        <v>0</v>
      </c>
      <c r="E53" s="36">
        <v>0</v>
      </c>
      <c r="F53" s="143">
        <v>0</v>
      </c>
      <c r="G53" s="43">
        <f t="shared" si="16"/>
        <v>0</v>
      </c>
      <c r="H53" s="35" t="e">
        <f t="shared" si="17"/>
        <v>#DIV/0!</v>
      </c>
      <c r="I53" s="50">
        <f t="shared" si="20"/>
        <v>0</v>
      </c>
      <c r="J53" s="50" t="e">
        <f t="shared" si="18"/>
        <v>#DIV/0!</v>
      </c>
      <c r="K53" s="50">
        <f t="shared" si="21"/>
        <v>-6172.8</v>
      </c>
      <c r="L53" s="50">
        <f t="shared" si="22"/>
        <v>0</v>
      </c>
      <c r="M53" s="35">
        <f t="shared" si="6"/>
        <v>0</v>
      </c>
      <c r="N53" s="35">
        <f t="shared" si="7"/>
        <v>0</v>
      </c>
      <c r="O53" s="47">
        <f t="shared" si="3"/>
        <v>0</v>
      </c>
      <c r="P53" s="50" t="e">
        <f t="shared" si="19"/>
        <v>#DIV/0!</v>
      </c>
      <c r="Q53" s="132">
        <f t="shared" si="23"/>
        <v>-6172.8</v>
      </c>
      <c r="R53" s="133">
        <f t="shared" si="24"/>
        <v>0</v>
      </c>
    </row>
    <row r="54" spans="1:18" s="6" customFormat="1" ht="15.75" hidden="1">
      <c r="A54" s="8"/>
      <c r="B54" s="39" t="s">
        <v>52</v>
      </c>
      <c r="C54" s="58">
        <v>14060100</v>
      </c>
      <c r="D54" s="36">
        <v>0</v>
      </c>
      <c r="E54" s="36">
        <v>0</v>
      </c>
      <c r="F54" s="143">
        <v>0</v>
      </c>
      <c r="G54" s="43">
        <f t="shared" si="16"/>
        <v>0</v>
      </c>
      <c r="H54" s="35" t="e">
        <f t="shared" si="17"/>
        <v>#DIV/0!</v>
      </c>
      <c r="I54" s="50">
        <f t="shared" si="20"/>
        <v>0</v>
      </c>
      <c r="J54" s="50" t="e">
        <f t="shared" si="18"/>
        <v>#DIV/0!</v>
      </c>
      <c r="K54" s="50">
        <f t="shared" si="21"/>
        <v>-6172.8</v>
      </c>
      <c r="L54" s="50">
        <f t="shared" si="22"/>
        <v>0</v>
      </c>
      <c r="M54" s="35">
        <f t="shared" si="6"/>
        <v>0</v>
      </c>
      <c r="N54" s="35">
        <f t="shared" si="7"/>
        <v>0</v>
      </c>
      <c r="O54" s="47">
        <f t="shared" si="3"/>
        <v>0</v>
      </c>
      <c r="P54" s="50" t="e">
        <f t="shared" si="19"/>
        <v>#DIV/0!</v>
      </c>
      <c r="Q54" s="132">
        <f t="shared" si="23"/>
        <v>-6172.8</v>
      </c>
      <c r="R54" s="133">
        <f t="shared" si="24"/>
        <v>0</v>
      </c>
    </row>
    <row r="55" spans="1:18" s="6" customFormat="1" ht="15.75">
      <c r="A55" s="8"/>
      <c r="B55" s="69" t="s">
        <v>179</v>
      </c>
      <c r="C55" s="58"/>
      <c r="D55" s="135">
        <v>31600</v>
      </c>
      <c r="E55" s="135">
        <v>5250</v>
      </c>
      <c r="F55" s="144">
        <v>4995.94</v>
      </c>
      <c r="G55" s="135">
        <f t="shared" si="16"/>
        <v>-254.0600000000004</v>
      </c>
      <c r="H55" s="137">
        <f t="shared" si="17"/>
        <v>95.1607619047619</v>
      </c>
      <c r="I55" s="136">
        <f t="shared" si="20"/>
        <v>-26604.06</v>
      </c>
      <c r="J55" s="136">
        <f t="shared" si="18"/>
        <v>15.809936708860759</v>
      </c>
      <c r="K55" s="136">
        <f>F55-4687.91</f>
        <v>308.02999999999975</v>
      </c>
      <c r="L55" s="136">
        <f>F55/4687.91*100</f>
        <v>106.57073194664572</v>
      </c>
      <c r="M55" s="137">
        <f t="shared" si="6"/>
        <v>5250</v>
      </c>
      <c r="N55" s="137">
        <f t="shared" si="7"/>
        <v>4995.94</v>
      </c>
      <c r="O55" s="138">
        <f t="shared" si="3"/>
        <v>-254.0600000000004</v>
      </c>
      <c r="P55" s="136">
        <f t="shared" si="19"/>
        <v>95.1607619047619</v>
      </c>
      <c r="Q55" s="139">
        <f>N55-4687.91</f>
        <v>308.02999999999975</v>
      </c>
      <c r="R55" s="140">
        <f>N55/4687.91</f>
        <v>1.0657073194664572</v>
      </c>
    </row>
    <row r="56" spans="1:18" s="6" customFormat="1" ht="15.75" customHeight="1">
      <c r="A56" s="8"/>
      <c r="B56" s="15" t="s">
        <v>53</v>
      </c>
      <c r="C56" s="59">
        <v>18000000</v>
      </c>
      <c r="D56" s="36">
        <v>3627</v>
      </c>
      <c r="E56" s="36">
        <v>553</v>
      </c>
      <c r="F56" s="143">
        <v>145.11</v>
      </c>
      <c r="G56" s="43">
        <f aca="true" t="shared" si="25" ref="G56:G72">F56-E56</f>
        <v>-407.89</v>
      </c>
      <c r="H56" s="35">
        <f aca="true" t="shared" si="26" ref="H56:H67">F56/E56*100</f>
        <v>26.240506329113927</v>
      </c>
      <c r="I56" s="50">
        <f aca="true" t="shared" si="27" ref="I56:I72">F56-D56</f>
        <v>-3481.89</v>
      </c>
      <c r="J56" s="50">
        <f aca="true" t="shared" si="28" ref="J56:J72">F56/D56*100</f>
        <v>4.000827129859388</v>
      </c>
      <c r="K56" s="50">
        <f>F56-527.8</f>
        <v>-382.68999999999994</v>
      </c>
      <c r="L56" s="50">
        <f>F56/527.8*100</f>
        <v>27.493368700265258</v>
      </c>
      <c r="M56" s="35">
        <f t="shared" si="6"/>
        <v>553</v>
      </c>
      <c r="N56" s="35">
        <f t="shared" si="7"/>
        <v>145.11</v>
      </c>
      <c r="O56" s="47">
        <f aca="true" t="shared" si="29" ref="O56:O72">N56-M56</f>
        <v>-407.89</v>
      </c>
      <c r="P56" s="50">
        <f aca="true" t="shared" si="30" ref="P56:P67">N56/M56*100</f>
        <v>26.240506329113927</v>
      </c>
      <c r="Q56" s="50">
        <f>N56-527.8</f>
        <v>-382.68999999999994</v>
      </c>
      <c r="R56" s="126">
        <f>N56/527.8</f>
        <v>0.2749336870026526</v>
      </c>
    </row>
    <row r="57" spans="1:18" s="6" customFormat="1" ht="15.75" customHeight="1" hidden="1">
      <c r="A57" s="8"/>
      <c r="B57" s="15" t="s">
        <v>54</v>
      </c>
      <c r="C57" s="58">
        <v>16010100</v>
      </c>
      <c r="D57" s="36">
        <v>0</v>
      </c>
      <c r="E57" s="36">
        <v>0</v>
      </c>
      <c r="F57" s="143">
        <v>0</v>
      </c>
      <c r="G57" s="43">
        <f t="shared" si="25"/>
        <v>0</v>
      </c>
      <c r="H57" s="35" t="e">
        <f t="shared" si="26"/>
        <v>#DIV/0!</v>
      </c>
      <c r="I57" s="50">
        <f t="shared" si="27"/>
        <v>0</v>
      </c>
      <c r="J57" s="50" t="e">
        <f t="shared" si="28"/>
        <v>#DIV/0!</v>
      </c>
      <c r="K57" s="50"/>
      <c r="L57" s="50">
        <f aca="true" t="shared" si="31" ref="L57:L67">F57/527.8*100</f>
        <v>0</v>
      </c>
      <c r="M57" s="35">
        <f t="shared" si="6"/>
        <v>0</v>
      </c>
      <c r="N57" s="35">
        <f t="shared" si="7"/>
        <v>0</v>
      </c>
      <c r="O57" s="47">
        <f t="shared" si="29"/>
        <v>0</v>
      </c>
      <c r="P57" s="50" t="e">
        <f t="shared" si="30"/>
        <v>#DIV/0!</v>
      </c>
      <c r="Q57" s="50"/>
      <c r="R57" s="126"/>
    </row>
    <row r="58" spans="1:18" s="6" customFormat="1" ht="15.75" customHeight="1" hidden="1">
      <c r="A58" s="8"/>
      <c r="B58" s="15" t="s">
        <v>55</v>
      </c>
      <c r="C58" s="58">
        <v>16010200</v>
      </c>
      <c r="D58" s="36">
        <v>0</v>
      </c>
      <c r="E58" s="36">
        <v>0</v>
      </c>
      <c r="F58" s="143">
        <v>0</v>
      </c>
      <c r="G58" s="43">
        <f t="shared" si="25"/>
        <v>0</v>
      </c>
      <c r="H58" s="35" t="e">
        <f t="shared" si="26"/>
        <v>#DIV/0!</v>
      </c>
      <c r="I58" s="50">
        <f t="shared" si="27"/>
        <v>0</v>
      </c>
      <c r="J58" s="50" t="e">
        <f t="shared" si="28"/>
        <v>#DIV/0!</v>
      </c>
      <c r="K58" s="50"/>
      <c r="L58" s="50">
        <f t="shared" si="31"/>
        <v>0</v>
      </c>
      <c r="M58" s="35">
        <f t="shared" si="6"/>
        <v>0</v>
      </c>
      <c r="N58" s="35">
        <f t="shared" si="7"/>
        <v>0</v>
      </c>
      <c r="O58" s="47">
        <f t="shared" si="29"/>
        <v>0</v>
      </c>
      <c r="P58" s="50" t="e">
        <f t="shared" si="30"/>
        <v>#DIV/0!</v>
      </c>
      <c r="Q58" s="50"/>
      <c r="R58" s="126"/>
    </row>
    <row r="59" spans="1:18" s="6" customFormat="1" ht="15.75" customHeight="1" hidden="1">
      <c r="A59" s="8"/>
      <c r="B59" s="15" t="s">
        <v>56</v>
      </c>
      <c r="C59" s="58">
        <v>16010300</v>
      </c>
      <c r="D59" s="36">
        <v>0</v>
      </c>
      <c r="E59" s="36">
        <v>0</v>
      </c>
      <c r="F59" s="143">
        <v>0</v>
      </c>
      <c r="G59" s="43">
        <f t="shared" si="25"/>
        <v>0</v>
      </c>
      <c r="H59" s="35" t="e">
        <f t="shared" si="26"/>
        <v>#DIV/0!</v>
      </c>
      <c r="I59" s="50">
        <f t="shared" si="27"/>
        <v>0</v>
      </c>
      <c r="J59" s="50" t="e">
        <f t="shared" si="28"/>
        <v>#DIV/0!</v>
      </c>
      <c r="K59" s="50"/>
      <c r="L59" s="50">
        <f t="shared" si="31"/>
        <v>0</v>
      </c>
      <c r="M59" s="35">
        <f t="shared" si="6"/>
        <v>0</v>
      </c>
      <c r="N59" s="35">
        <f t="shared" si="7"/>
        <v>0</v>
      </c>
      <c r="O59" s="47">
        <f t="shared" si="29"/>
        <v>0</v>
      </c>
      <c r="P59" s="50" t="e">
        <f t="shared" si="30"/>
        <v>#DIV/0!</v>
      </c>
      <c r="Q59" s="50"/>
      <c r="R59" s="126"/>
    </row>
    <row r="60" spans="1:18" s="6" customFormat="1" ht="15.75" customHeight="1" hidden="1">
      <c r="A60" s="8"/>
      <c r="B60" s="15" t="s">
        <v>57</v>
      </c>
      <c r="C60" s="58">
        <v>16010400</v>
      </c>
      <c r="D60" s="36">
        <v>0</v>
      </c>
      <c r="E60" s="36">
        <v>0</v>
      </c>
      <c r="F60" s="143">
        <v>0</v>
      </c>
      <c r="G60" s="43">
        <f t="shared" si="25"/>
        <v>0</v>
      </c>
      <c r="H60" s="35" t="e">
        <f t="shared" si="26"/>
        <v>#DIV/0!</v>
      </c>
      <c r="I60" s="50">
        <f t="shared" si="27"/>
        <v>0</v>
      </c>
      <c r="J60" s="50" t="e">
        <f t="shared" si="28"/>
        <v>#DIV/0!</v>
      </c>
      <c r="K60" s="50"/>
      <c r="L60" s="50">
        <f t="shared" si="31"/>
        <v>0</v>
      </c>
      <c r="M60" s="35">
        <f t="shared" si="6"/>
        <v>0</v>
      </c>
      <c r="N60" s="35">
        <f t="shared" si="7"/>
        <v>0</v>
      </c>
      <c r="O60" s="47">
        <f t="shared" si="29"/>
        <v>0</v>
      </c>
      <c r="P60" s="50" t="e">
        <f t="shared" si="30"/>
        <v>#DIV/0!</v>
      </c>
      <c r="Q60" s="50"/>
      <c r="R60" s="126"/>
    </row>
    <row r="61" spans="1:18" s="6" customFormat="1" ht="15.75" customHeight="1" hidden="1">
      <c r="A61" s="8"/>
      <c r="B61" s="15" t="s">
        <v>58</v>
      </c>
      <c r="C61" s="58">
        <v>16010500</v>
      </c>
      <c r="D61" s="36">
        <v>0</v>
      </c>
      <c r="E61" s="36">
        <v>0</v>
      </c>
      <c r="F61" s="143">
        <v>0</v>
      </c>
      <c r="G61" s="43">
        <f t="shared" si="25"/>
        <v>0</v>
      </c>
      <c r="H61" s="35" t="e">
        <f t="shared" si="26"/>
        <v>#DIV/0!</v>
      </c>
      <c r="I61" s="50">
        <f t="shared" si="27"/>
        <v>0</v>
      </c>
      <c r="J61" s="50" t="e">
        <f t="shared" si="28"/>
        <v>#DIV/0!</v>
      </c>
      <c r="K61" s="50"/>
      <c r="L61" s="50">
        <f t="shared" si="31"/>
        <v>0</v>
      </c>
      <c r="M61" s="35">
        <f t="shared" si="6"/>
        <v>0</v>
      </c>
      <c r="N61" s="35">
        <f t="shared" si="7"/>
        <v>0</v>
      </c>
      <c r="O61" s="47">
        <f t="shared" si="29"/>
        <v>0</v>
      </c>
      <c r="P61" s="50" t="e">
        <f t="shared" si="30"/>
        <v>#DIV/0!</v>
      </c>
      <c r="Q61" s="50"/>
      <c r="R61" s="126"/>
    </row>
    <row r="62" spans="1:18" s="6" customFormat="1" ht="15.75" customHeight="1" hidden="1">
      <c r="A62" s="8"/>
      <c r="B62" s="15" t="s">
        <v>59</v>
      </c>
      <c r="C62" s="58">
        <v>16010600</v>
      </c>
      <c r="D62" s="36">
        <v>0</v>
      </c>
      <c r="E62" s="36">
        <v>0</v>
      </c>
      <c r="F62" s="143">
        <v>0</v>
      </c>
      <c r="G62" s="43">
        <f t="shared" si="25"/>
        <v>0</v>
      </c>
      <c r="H62" s="35" t="e">
        <f t="shared" si="26"/>
        <v>#DIV/0!</v>
      </c>
      <c r="I62" s="50">
        <f t="shared" si="27"/>
        <v>0</v>
      </c>
      <c r="J62" s="50" t="e">
        <f t="shared" si="28"/>
        <v>#DIV/0!</v>
      </c>
      <c r="K62" s="50"/>
      <c r="L62" s="50">
        <f t="shared" si="31"/>
        <v>0</v>
      </c>
      <c r="M62" s="35">
        <f t="shared" si="6"/>
        <v>0</v>
      </c>
      <c r="N62" s="35">
        <f t="shared" si="7"/>
        <v>0</v>
      </c>
      <c r="O62" s="47">
        <f t="shared" si="29"/>
        <v>0</v>
      </c>
      <c r="P62" s="50" t="e">
        <f t="shared" si="30"/>
        <v>#DIV/0!</v>
      </c>
      <c r="Q62" s="50"/>
      <c r="R62" s="126"/>
    </row>
    <row r="63" spans="1:18" s="6" customFormat="1" ht="31.5" hidden="1">
      <c r="A63" s="8"/>
      <c r="B63" s="15" t="s">
        <v>60</v>
      </c>
      <c r="C63" s="58">
        <v>16011300</v>
      </c>
      <c r="D63" s="36">
        <v>0</v>
      </c>
      <c r="E63" s="36">
        <v>0</v>
      </c>
      <c r="F63" s="143">
        <v>0</v>
      </c>
      <c r="G63" s="43">
        <f t="shared" si="25"/>
        <v>0</v>
      </c>
      <c r="H63" s="35" t="e">
        <f t="shared" si="26"/>
        <v>#DIV/0!</v>
      </c>
      <c r="I63" s="50">
        <f t="shared" si="27"/>
        <v>0</v>
      </c>
      <c r="J63" s="50" t="e">
        <f t="shared" si="28"/>
        <v>#DIV/0!</v>
      </c>
      <c r="K63" s="50"/>
      <c r="L63" s="50">
        <f t="shared" si="31"/>
        <v>0</v>
      </c>
      <c r="M63" s="35">
        <f t="shared" si="6"/>
        <v>0</v>
      </c>
      <c r="N63" s="35">
        <f t="shared" si="7"/>
        <v>0</v>
      </c>
      <c r="O63" s="47">
        <f t="shared" si="29"/>
        <v>0</v>
      </c>
      <c r="P63" s="50" t="e">
        <f t="shared" si="30"/>
        <v>#DIV/0!</v>
      </c>
      <c r="Q63" s="50"/>
      <c r="R63" s="126"/>
    </row>
    <row r="64" spans="1:18" s="6" customFormat="1" ht="31.5" hidden="1">
      <c r="A64" s="8"/>
      <c r="B64" s="15" t="s">
        <v>61</v>
      </c>
      <c r="C64" s="58">
        <v>16011500</v>
      </c>
      <c r="D64" s="36">
        <v>0</v>
      </c>
      <c r="E64" s="36">
        <v>0</v>
      </c>
      <c r="F64" s="143">
        <v>0</v>
      </c>
      <c r="G64" s="43">
        <f t="shared" si="25"/>
        <v>0</v>
      </c>
      <c r="H64" s="35" t="e">
        <f t="shared" si="26"/>
        <v>#DIV/0!</v>
      </c>
      <c r="I64" s="50">
        <f t="shared" si="27"/>
        <v>0</v>
      </c>
      <c r="J64" s="50" t="e">
        <f t="shared" si="28"/>
        <v>#DIV/0!</v>
      </c>
      <c r="K64" s="50"/>
      <c r="L64" s="50">
        <f t="shared" si="31"/>
        <v>0</v>
      </c>
      <c r="M64" s="35">
        <f t="shared" si="6"/>
        <v>0</v>
      </c>
      <c r="N64" s="35">
        <f t="shared" si="7"/>
        <v>0</v>
      </c>
      <c r="O64" s="47">
        <f t="shared" si="29"/>
        <v>0</v>
      </c>
      <c r="P64" s="50" t="e">
        <f t="shared" si="30"/>
        <v>#DIV/0!</v>
      </c>
      <c r="Q64" s="50"/>
      <c r="R64" s="126"/>
    </row>
    <row r="65" spans="1:18" s="6" customFormat="1" ht="15.75" hidden="1">
      <c r="A65" s="8"/>
      <c r="B65" s="15" t="s">
        <v>62</v>
      </c>
      <c r="C65" s="58">
        <v>16011600</v>
      </c>
      <c r="D65" s="36">
        <v>0</v>
      </c>
      <c r="E65" s="36">
        <v>0</v>
      </c>
      <c r="F65" s="143">
        <v>0</v>
      </c>
      <c r="G65" s="43">
        <f t="shared" si="25"/>
        <v>0</v>
      </c>
      <c r="H65" s="35" t="e">
        <f t="shared" si="26"/>
        <v>#DIV/0!</v>
      </c>
      <c r="I65" s="50">
        <f t="shared" si="27"/>
        <v>0</v>
      </c>
      <c r="J65" s="50" t="e">
        <f t="shared" si="28"/>
        <v>#DIV/0!</v>
      </c>
      <c r="K65" s="50"/>
      <c r="L65" s="50">
        <f t="shared" si="31"/>
        <v>0</v>
      </c>
      <c r="M65" s="35">
        <f t="shared" si="6"/>
        <v>0</v>
      </c>
      <c r="N65" s="35">
        <f t="shared" si="7"/>
        <v>0</v>
      </c>
      <c r="O65" s="47">
        <f t="shared" si="29"/>
        <v>0</v>
      </c>
      <c r="P65" s="50" t="e">
        <f t="shared" si="30"/>
        <v>#DIV/0!</v>
      </c>
      <c r="Q65" s="50"/>
      <c r="R65" s="126"/>
    </row>
    <row r="66" spans="1:18" s="6" customFormat="1" ht="47.25" customHeight="1" hidden="1">
      <c r="A66" s="8"/>
      <c r="B66" s="15" t="s">
        <v>63</v>
      </c>
      <c r="C66" s="58">
        <v>16011700</v>
      </c>
      <c r="D66" s="36">
        <v>0</v>
      </c>
      <c r="E66" s="36">
        <v>0</v>
      </c>
      <c r="F66" s="143">
        <v>0</v>
      </c>
      <c r="G66" s="43">
        <f t="shared" si="25"/>
        <v>0</v>
      </c>
      <c r="H66" s="35" t="e">
        <f t="shared" si="26"/>
        <v>#DIV/0!</v>
      </c>
      <c r="I66" s="50">
        <f t="shared" si="27"/>
        <v>0</v>
      </c>
      <c r="J66" s="50" t="e">
        <f t="shared" si="28"/>
        <v>#DIV/0!</v>
      </c>
      <c r="K66" s="50"/>
      <c r="L66" s="50">
        <f t="shared" si="31"/>
        <v>0</v>
      </c>
      <c r="M66" s="35">
        <f t="shared" si="6"/>
        <v>0</v>
      </c>
      <c r="N66" s="35">
        <f t="shared" si="7"/>
        <v>0</v>
      </c>
      <c r="O66" s="47">
        <f t="shared" si="29"/>
        <v>0</v>
      </c>
      <c r="P66" s="50" t="e">
        <f t="shared" si="30"/>
        <v>#DIV/0!</v>
      </c>
      <c r="Q66" s="50"/>
      <c r="R66" s="126"/>
    </row>
    <row r="67" spans="1:18" s="6" customFormat="1" ht="15.75" hidden="1">
      <c r="A67" s="8"/>
      <c r="B67" s="12" t="s">
        <v>64</v>
      </c>
      <c r="C67" s="59">
        <v>16030000</v>
      </c>
      <c r="D67" s="36">
        <v>0</v>
      </c>
      <c r="E67" s="36">
        <v>0</v>
      </c>
      <c r="F67" s="143">
        <v>0</v>
      </c>
      <c r="G67" s="43">
        <f t="shared" si="25"/>
        <v>0</v>
      </c>
      <c r="H67" s="35" t="e">
        <f t="shared" si="26"/>
        <v>#DIV/0!</v>
      </c>
      <c r="I67" s="50">
        <f t="shared" si="27"/>
        <v>0</v>
      </c>
      <c r="J67" s="50" t="e">
        <f t="shared" si="28"/>
        <v>#DIV/0!</v>
      </c>
      <c r="K67" s="50"/>
      <c r="L67" s="50">
        <f t="shared" si="31"/>
        <v>0</v>
      </c>
      <c r="M67" s="35">
        <f t="shared" si="6"/>
        <v>0</v>
      </c>
      <c r="N67" s="35">
        <f t="shared" si="7"/>
        <v>0</v>
      </c>
      <c r="O67" s="47">
        <f t="shared" si="29"/>
        <v>0</v>
      </c>
      <c r="P67" s="50" t="e">
        <f t="shared" si="30"/>
        <v>#DIV/0!</v>
      </c>
      <c r="Q67" s="50"/>
      <c r="R67" s="126"/>
    </row>
    <row r="68" spans="1:18" s="6" customFormat="1" ht="15.75">
      <c r="A68" s="8"/>
      <c r="B68" s="15" t="s">
        <v>65</v>
      </c>
      <c r="C68" s="59">
        <v>19040000</v>
      </c>
      <c r="D68" s="36">
        <v>0</v>
      </c>
      <c r="E68" s="36">
        <v>0</v>
      </c>
      <c r="F68" s="143">
        <v>0.15</v>
      </c>
      <c r="G68" s="43">
        <f t="shared" si="25"/>
        <v>0.15</v>
      </c>
      <c r="H68" s="35"/>
      <c r="I68" s="50">
        <f t="shared" si="27"/>
        <v>0.15</v>
      </c>
      <c r="J68" s="50" t="e">
        <f t="shared" si="28"/>
        <v>#DIV/0!</v>
      </c>
      <c r="K68" s="50">
        <f>F68-0.15</f>
        <v>0</v>
      </c>
      <c r="L68" s="50">
        <f>F68/0.15*100</f>
        <v>100</v>
      </c>
      <c r="M68" s="35">
        <f t="shared" si="6"/>
        <v>0</v>
      </c>
      <c r="N68" s="35">
        <f t="shared" si="7"/>
        <v>0.15</v>
      </c>
      <c r="O68" s="47">
        <f t="shared" si="29"/>
        <v>0.15</v>
      </c>
      <c r="P68" s="50"/>
      <c r="Q68" s="50">
        <f>N68-0.15</f>
        <v>0</v>
      </c>
      <c r="R68" s="126">
        <f>N68/0.15</f>
        <v>1</v>
      </c>
    </row>
    <row r="69" spans="1:18" s="6" customFormat="1" ht="47.25" customHeight="1" hidden="1">
      <c r="A69" s="8"/>
      <c r="B69" s="14" t="s">
        <v>66</v>
      </c>
      <c r="C69" s="83">
        <v>16040100</v>
      </c>
      <c r="D69" s="16"/>
      <c r="E69" s="16"/>
      <c r="F69" s="143"/>
      <c r="G69" s="43">
        <f t="shared" si="25"/>
        <v>0</v>
      </c>
      <c r="H69" s="35" t="e">
        <f>F69/E69*100</f>
        <v>#DIV/0!</v>
      </c>
      <c r="I69" s="50">
        <f t="shared" si="27"/>
        <v>0</v>
      </c>
      <c r="J69" s="50" t="e">
        <f t="shared" si="28"/>
        <v>#DIV/0!</v>
      </c>
      <c r="K69" s="50"/>
      <c r="L69" s="50"/>
      <c r="M69" s="35" t="e">
        <f>E69-#REF!</f>
        <v>#REF!</v>
      </c>
      <c r="N69" s="35" t="e">
        <f>F69-#REF!</f>
        <v>#REF!</v>
      </c>
      <c r="O69" s="47" t="e">
        <f t="shared" si="29"/>
        <v>#REF!</v>
      </c>
      <c r="P69" s="50" t="e">
        <f>N69/M69*100</f>
        <v>#REF!</v>
      </c>
      <c r="Q69" s="50"/>
      <c r="R69" s="126"/>
    </row>
    <row r="70" spans="1:18" s="6" customFormat="1" ht="31.5" hidden="1">
      <c r="A70" s="8"/>
      <c r="B70" s="38" t="s">
        <v>67</v>
      </c>
      <c r="C70" s="82">
        <v>16050000</v>
      </c>
      <c r="D70" s="16">
        <v>0</v>
      </c>
      <c r="E70" s="16"/>
      <c r="F70" s="152">
        <v>0</v>
      </c>
      <c r="G70" s="43">
        <f t="shared" si="25"/>
        <v>0</v>
      </c>
      <c r="H70" s="35" t="e">
        <f>F70/E70*100</f>
        <v>#DIV/0!</v>
      </c>
      <c r="I70" s="50">
        <f t="shared" si="27"/>
        <v>0</v>
      </c>
      <c r="J70" s="50" t="e">
        <f t="shared" si="28"/>
        <v>#DIV/0!</v>
      </c>
      <c r="K70" s="50"/>
      <c r="L70" s="50"/>
      <c r="M70" s="35" t="e">
        <f>E70-#REF!</f>
        <v>#REF!</v>
      </c>
      <c r="N70" s="35" t="e">
        <f>F70-#REF!</f>
        <v>#REF!</v>
      </c>
      <c r="O70" s="47" t="e">
        <f t="shared" si="29"/>
        <v>#REF!</v>
      </c>
      <c r="P70" s="50" t="e">
        <f>N70/M70*100</f>
        <v>#REF!</v>
      </c>
      <c r="Q70" s="50"/>
      <c r="R70" s="126"/>
    </row>
    <row r="71" spans="1:18" s="6" customFormat="1" ht="31.5" hidden="1">
      <c r="A71" s="8"/>
      <c r="B71" s="15" t="s">
        <v>68</v>
      </c>
      <c r="C71" s="83">
        <v>16050100</v>
      </c>
      <c r="D71" s="16">
        <v>4590</v>
      </c>
      <c r="E71" s="16"/>
      <c r="F71" s="143"/>
      <c r="G71" s="43">
        <f t="shared" si="25"/>
        <v>0</v>
      </c>
      <c r="H71" s="35" t="e">
        <f>F71/E71*100</f>
        <v>#DIV/0!</v>
      </c>
      <c r="I71" s="50">
        <f t="shared" si="27"/>
        <v>-4590</v>
      </c>
      <c r="J71" s="50">
        <f t="shared" si="28"/>
        <v>0</v>
      </c>
      <c r="K71" s="50"/>
      <c r="L71" s="50"/>
      <c r="M71" s="35" t="e">
        <f>E71-#REF!</f>
        <v>#REF!</v>
      </c>
      <c r="N71" s="35" t="e">
        <f>F71-#REF!</f>
        <v>#REF!</v>
      </c>
      <c r="O71" s="47" t="e">
        <f t="shared" si="29"/>
        <v>#REF!</v>
      </c>
      <c r="P71" s="50" t="e">
        <f>F71/M71*100</f>
        <v>#REF!</v>
      </c>
      <c r="Q71" s="50"/>
      <c r="R71" s="126"/>
    </row>
    <row r="72" spans="1:18" s="6" customFormat="1" ht="31.5" hidden="1">
      <c r="A72" s="8"/>
      <c r="B72" s="15" t="s">
        <v>69</v>
      </c>
      <c r="C72" s="83">
        <v>16050200</v>
      </c>
      <c r="D72" s="16">
        <v>4410</v>
      </c>
      <c r="E72" s="16"/>
      <c r="F72" s="143"/>
      <c r="G72" s="43">
        <f t="shared" si="25"/>
        <v>0</v>
      </c>
      <c r="H72" s="35" t="e">
        <f>F72/E72*100</f>
        <v>#DIV/0!</v>
      </c>
      <c r="I72" s="50">
        <f t="shared" si="27"/>
        <v>-4410</v>
      </c>
      <c r="J72" s="50">
        <f t="shared" si="28"/>
        <v>0</v>
      </c>
      <c r="K72" s="50"/>
      <c r="L72" s="50"/>
      <c r="M72" s="35" t="e">
        <f>E72-#REF!</f>
        <v>#REF!</v>
      </c>
      <c r="N72" s="35" t="e">
        <f>F72-#REF!</f>
        <v>#REF!</v>
      </c>
      <c r="O72" s="47" t="e">
        <f t="shared" si="29"/>
        <v>#REF!</v>
      </c>
      <c r="P72" s="50" t="e">
        <f>F72/M72*100</f>
        <v>#REF!</v>
      </c>
      <c r="Q72" s="50"/>
      <c r="R72" s="126"/>
    </row>
    <row r="73" spans="1:18" s="6" customFormat="1" ht="31.5" hidden="1">
      <c r="A73" s="7"/>
      <c r="B73" s="15" t="s">
        <v>67</v>
      </c>
      <c r="C73" s="83">
        <v>16050000</v>
      </c>
      <c r="D73" s="16"/>
      <c r="E73" s="16"/>
      <c r="F73" s="143">
        <v>0</v>
      </c>
      <c r="G73" s="43"/>
      <c r="H73" s="35"/>
      <c r="I73" s="50"/>
      <c r="J73" s="50"/>
      <c r="K73" s="50"/>
      <c r="L73" s="50"/>
      <c r="M73" s="35" t="e">
        <f>E73-#REF!</f>
        <v>#REF!</v>
      </c>
      <c r="N73" s="35" t="e">
        <f>F73-#REF!</f>
        <v>#REF!</v>
      </c>
      <c r="O73" s="47"/>
      <c r="P73" s="50"/>
      <c r="Q73" s="50"/>
      <c r="R73" s="126"/>
    </row>
    <row r="74" spans="1:18" s="6" customFormat="1" ht="18.75">
      <c r="A74" s="7"/>
      <c r="B74" s="19" t="s">
        <v>70</v>
      </c>
      <c r="C74" s="93">
        <v>20000000</v>
      </c>
      <c r="D74" s="18">
        <f>D77+D86+D87+D88+D89+D95+D96+D97+D99+D103</f>
        <v>6632</v>
      </c>
      <c r="E74" s="18">
        <f>E77+E86+E87+E88+E89+E95+E96+E97+E99+E103</f>
        <v>1091</v>
      </c>
      <c r="F74" s="112">
        <f>F77+F86+F88+F89+F95+F96+F97+F99+F103+F87</f>
        <v>1022.35</v>
      </c>
      <c r="G74" s="44">
        <f aca="true" t="shared" si="32" ref="G74:G92">F74-E74</f>
        <v>-68.64999999999998</v>
      </c>
      <c r="H74" s="45">
        <f aca="true" t="shared" si="33" ref="H74:H86">F74/E74*100</f>
        <v>93.70760769935839</v>
      </c>
      <c r="I74" s="31">
        <f aca="true" t="shared" si="34" ref="I74:I92">F74-D74</f>
        <v>-5609.65</v>
      </c>
      <c r="J74" s="31">
        <f aca="true" t="shared" si="35" ref="J74:J92">F74/D74*100</f>
        <v>15.415410132689988</v>
      </c>
      <c r="K74" s="31">
        <f>F74-1017.6</f>
        <v>4.75</v>
      </c>
      <c r="L74" s="31">
        <f>F74/1017.6*100</f>
        <v>100.46678459119495</v>
      </c>
      <c r="M74" s="18">
        <f>M77+M86+M88+M89+M94+M95+M96+M97+M99+M87</f>
        <v>1091</v>
      </c>
      <c r="N74" s="18">
        <f>N77+N86+N88+N89+N94+N95+N96+N97+N99+N32+N103+N87</f>
        <v>1022.35</v>
      </c>
      <c r="O74" s="49">
        <f aca="true" t="shared" si="36" ref="O74:O92">N74-M74</f>
        <v>-68.64999999999998</v>
      </c>
      <c r="P74" s="31">
        <f>N74/M74*100</f>
        <v>93.70760769935839</v>
      </c>
      <c r="Q74" s="31">
        <f>N74-1017.63</f>
        <v>4.720000000000027</v>
      </c>
      <c r="R74" s="127">
        <f>N74/1017.63</f>
        <v>1.0046382280396609</v>
      </c>
    </row>
    <row r="75" spans="1:18" s="6" customFormat="1" ht="31.5" hidden="1">
      <c r="A75" s="8"/>
      <c r="B75" s="11" t="s">
        <v>71</v>
      </c>
      <c r="C75" s="81">
        <v>21000000</v>
      </c>
      <c r="D75" s="16" t="e">
        <f>D77+#REF!</f>
        <v>#REF!</v>
      </c>
      <c r="E75" s="16"/>
      <c r="F75" s="153" t="e">
        <f>SUM(F76:F77)+SUM(#REF!)</f>
        <v>#REF!</v>
      </c>
      <c r="G75" s="43" t="e">
        <f t="shared" si="32"/>
        <v>#REF!</v>
      </c>
      <c r="H75" s="35" t="e">
        <f t="shared" si="33"/>
        <v>#REF!</v>
      </c>
      <c r="I75" s="50" t="e">
        <f t="shared" si="34"/>
        <v>#REF!</v>
      </c>
      <c r="J75" s="50" t="e">
        <f t="shared" si="35"/>
        <v>#REF!</v>
      </c>
      <c r="K75" s="50"/>
      <c r="L75" s="50"/>
      <c r="M75" s="51" t="e">
        <f>SUM(M76:M77)+SUM(#REF!)</f>
        <v>#REF!</v>
      </c>
      <c r="N75" s="51" t="e">
        <f>SUM(N76:N77)+SUM(#REF!)</f>
        <v>#REF!</v>
      </c>
      <c r="O75" s="47" t="e">
        <f t="shared" si="36"/>
        <v>#REF!</v>
      </c>
      <c r="P75" s="50" t="e">
        <f>F75/M75*100</f>
        <v>#REF!</v>
      </c>
      <c r="Q75" s="50"/>
      <c r="R75" s="126"/>
    </row>
    <row r="76" spans="1:18" s="6" customFormat="1" ht="15.75" hidden="1">
      <c r="A76" s="8"/>
      <c r="B76" s="12" t="s">
        <v>72</v>
      </c>
      <c r="C76" s="82">
        <v>21030000</v>
      </c>
      <c r="D76" s="16" t="e">
        <f>#REF!*0.001</f>
        <v>#REF!</v>
      </c>
      <c r="E76" s="16"/>
      <c r="F76" s="154"/>
      <c r="G76" s="43">
        <f t="shared" si="32"/>
        <v>0</v>
      </c>
      <c r="H76" s="35" t="e">
        <f t="shared" si="33"/>
        <v>#DIV/0!</v>
      </c>
      <c r="I76" s="50" t="e">
        <f t="shared" si="34"/>
        <v>#REF!</v>
      </c>
      <c r="J76" s="50" t="e">
        <f t="shared" si="35"/>
        <v>#REF!</v>
      </c>
      <c r="K76" s="50"/>
      <c r="L76" s="50"/>
      <c r="M76" s="52"/>
      <c r="N76" s="52"/>
      <c r="O76" s="47">
        <f t="shared" si="36"/>
        <v>0</v>
      </c>
      <c r="P76" s="50" t="e">
        <f>F76/M76*100</f>
        <v>#DIV/0!</v>
      </c>
      <c r="Q76" s="50"/>
      <c r="R76" s="126"/>
    </row>
    <row r="77" spans="1:18" s="6" customFormat="1" ht="47.25">
      <c r="A77" s="8"/>
      <c r="B77" s="60" t="s">
        <v>106</v>
      </c>
      <c r="C77" s="59">
        <v>21010301</v>
      </c>
      <c r="D77" s="36">
        <v>60</v>
      </c>
      <c r="E77" s="36">
        <v>0</v>
      </c>
      <c r="F77" s="143">
        <v>0</v>
      </c>
      <c r="G77" s="43">
        <f t="shared" si="32"/>
        <v>0</v>
      </c>
      <c r="H77" s="35" t="e">
        <f t="shared" si="33"/>
        <v>#DIV/0!</v>
      </c>
      <c r="I77" s="50">
        <f t="shared" si="34"/>
        <v>-60</v>
      </c>
      <c r="J77" s="50">
        <f t="shared" si="35"/>
        <v>0</v>
      </c>
      <c r="K77" s="50">
        <f>F77-0</f>
        <v>0</v>
      </c>
      <c r="L77" s="50" t="e">
        <f>F77/0*100</f>
        <v>#DIV/0!</v>
      </c>
      <c r="M77" s="35">
        <f>E77</f>
        <v>0</v>
      </c>
      <c r="N77" s="35">
        <f>F77</f>
        <v>0</v>
      </c>
      <c r="O77" s="47">
        <f t="shared" si="36"/>
        <v>0</v>
      </c>
      <c r="P77" s="50" t="e">
        <f aca="true" t="shared" si="37" ref="P77:P86">N77/M77*100</f>
        <v>#DIV/0!</v>
      </c>
      <c r="Q77" s="50">
        <f>N77-0</f>
        <v>0</v>
      </c>
      <c r="R77" s="126" t="e">
        <f>N77/0</f>
        <v>#DIV/0!</v>
      </c>
    </row>
    <row r="78" spans="1:18" s="6" customFormat="1" ht="31.5" hidden="1">
      <c r="A78" s="8"/>
      <c r="B78" s="11" t="s">
        <v>74</v>
      </c>
      <c r="C78" s="57" t="s">
        <v>75</v>
      </c>
      <c r="D78" s="36">
        <v>0</v>
      </c>
      <c r="E78" s="36">
        <v>0</v>
      </c>
      <c r="F78" s="143">
        <v>0</v>
      </c>
      <c r="G78" s="43">
        <f t="shared" si="32"/>
        <v>0</v>
      </c>
      <c r="H78" s="35" t="e">
        <f t="shared" si="33"/>
        <v>#DIV/0!</v>
      </c>
      <c r="I78" s="50">
        <f t="shared" si="34"/>
        <v>0</v>
      </c>
      <c r="J78" s="50" t="e">
        <f t="shared" si="35"/>
        <v>#DIV/0!</v>
      </c>
      <c r="K78" s="50"/>
      <c r="L78" s="50">
        <f aca="true" t="shared" si="38" ref="L78:L101">F78</f>
        <v>0</v>
      </c>
      <c r="M78" s="35">
        <f aca="true" t="shared" si="39" ref="M78:M105">E78</f>
        <v>0</v>
      </c>
      <c r="N78" s="35">
        <f aca="true" t="shared" si="40" ref="N78:N105">F78</f>
        <v>0</v>
      </c>
      <c r="O78" s="47">
        <f t="shared" si="36"/>
        <v>0</v>
      </c>
      <c r="P78" s="50" t="e">
        <f t="shared" si="37"/>
        <v>#DIV/0!</v>
      </c>
      <c r="Q78" s="50"/>
      <c r="R78" s="126"/>
    </row>
    <row r="79" spans="1:18" s="6" customFormat="1" ht="31.5" hidden="1">
      <c r="A79" s="8"/>
      <c r="B79" s="12" t="s">
        <v>76</v>
      </c>
      <c r="C79" s="59" t="s">
        <v>77</v>
      </c>
      <c r="D79" s="36">
        <v>0</v>
      </c>
      <c r="E79" s="36">
        <v>0</v>
      </c>
      <c r="F79" s="143">
        <v>0</v>
      </c>
      <c r="G79" s="43">
        <f t="shared" si="32"/>
        <v>0</v>
      </c>
      <c r="H79" s="35" t="e">
        <f t="shared" si="33"/>
        <v>#DIV/0!</v>
      </c>
      <c r="I79" s="50">
        <f t="shared" si="34"/>
        <v>0</v>
      </c>
      <c r="J79" s="50" t="e">
        <f t="shared" si="35"/>
        <v>#DIV/0!</v>
      </c>
      <c r="K79" s="50"/>
      <c r="L79" s="50">
        <f t="shared" si="38"/>
        <v>0</v>
      </c>
      <c r="M79" s="35">
        <f t="shared" si="39"/>
        <v>0</v>
      </c>
      <c r="N79" s="35">
        <f t="shared" si="40"/>
        <v>0</v>
      </c>
      <c r="O79" s="47">
        <f t="shared" si="36"/>
        <v>0</v>
      </c>
      <c r="P79" s="50" t="e">
        <f t="shared" si="37"/>
        <v>#DIV/0!</v>
      </c>
      <c r="Q79" s="50"/>
      <c r="R79" s="126"/>
    </row>
    <row r="80" spans="1:18" s="6" customFormat="1" ht="31.5" hidden="1">
      <c r="A80" s="8"/>
      <c r="B80" s="14" t="s">
        <v>79</v>
      </c>
      <c r="C80" s="58">
        <v>22080400</v>
      </c>
      <c r="D80" s="36">
        <v>0</v>
      </c>
      <c r="E80" s="36">
        <v>0</v>
      </c>
      <c r="F80" s="143">
        <v>0</v>
      </c>
      <c r="G80" s="43">
        <f t="shared" si="32"/>
        <v>0</v>
      </c>
      <c r="H80" s="35" t="e">
        <f t="shared" si="33"/>
        <v>#DIV/0!</v>
      </c>
      <c r="I80" s="50">
        <f t="shared" si="34"/>
        <v>0</v>
      </c>
      <c r="J80" s="50" t="e">
        <f t="shared" si="35"/>
        <v>#DIV/0!</v>
      </c>
      <c r="K80" s="50"/>
      <c r="L80" s="50">
        <f t="shared" si="38"/>
        <v>0</v>
      </c>
      <c r="M80" s="35">
        <f t="shared" si="39"/>
        <v>0</v>
      </c>
      <c r="N80" s="35">
        <f t="shared" si="40"/>
        <v>0</v>
      </c>
      <c r="O80" s="47">
        <f t="shared" si="36"/>
        <v>0</v>
      </c>
      <c r="P80" s="50" t="e">
        <f t="shared" si="37"/>
        <v>#DIV/0!</v>
      </c>
      <c r="Q80" s="50"/>
      <c r="R80" s="126"/>
    </row>
    <row r="81" spans="1:18" s="6" customFormat="1" ht="15.75" hidden="1">
      <c r="A81" s="8"/>
      <c r="B81" s="12" t="s">
        <v>80</v>
      </c>
      <c r="C81" s="59" t="s">
        <v>81</v>
      </c>
      <c r="D81" s="36">
        <v>0</v>
      </c>
      <c r="E81" s="36">
        <v>0</v>
      </c>
      <c r="F81" s="143">
        <v>0</v>
      </c>
      <c r="G81" s="43">
        <f t="shared" si="32"/>
        <v>0</v>
      </c>
      <c r="H81" s="35" t="e">
        <f t="shared" si="33"/>
        <v>#DIV/0!</v>
      </c>
      <c r="I81" s="50">
        <f t="shared" si="34"/>
        <v>0</v>
      </c>
      <c r="J81" s="50" t="e">
        <f t="shared" si="35"/>
        <v>#DIV/0!</v>
      </c>
      <c r="K81" s="50"/>
      <c r="L81" s="50">
        <f t="shared" si="38"/>
        <v>0</v>
      </c>
      <c r="M81" s="35">
        <f t="shared" si="39"/>
        <v>0</v>
      </c>
      <c r="N81" s="35">
        <f t="shared" si="40"/>
        <v>0</v>
      </c>
      <c r="O81" s="47">
        <f t="shared" si="36"/>
        <v>0</v>
      </c>
      <c r="P81" s="50" t="e">
        <f t="shared" si="37"/>
        <v>#DIV/0!</v>
      </c>
      <c r="Q81" s="50"/>
      <c r="R81" s="126"/>
    </row>
    <row r="82" spans="1:18" s="6" customFormat="1" ht="47.25" hidden="1">
      <c r="A82" s="8"/>
      <c r="B82" s="14" t="s">
        <v>82</v>
      </c>
      <c r="C82" s="58" t="s">
        <v>83</v>
      </c>
      <c r="D82" s="36">
        <v>0</v>
      </c>
      <c r="E82" s="36">
        <v>0</v>
      </c>
      <c r="F82" s="143">
        <v>0</v>
      </c>
      <c r="G82" s="43">
        <f t="shared" si="32"/>
        <v>0</v>
      </c>
      <c r="H82" s="35" t="e">
        <f t="shared" si="33"/>
        <v>#DIV/0!</v>
      </c>
      <c r="I82" s="50">
        <f t="shared" si="34"/>
        <v>0</v>
      </c>
      <c r="J82" s="50" t="e">
        <f t="shared" si="35"/>
        <v>#DIV/0!</v>
      </c>
      <c r="K82" s="50"/>
      <c r="L82" s="50">
        <f t="shared" si="38"/>
        <v>0</v>
      </c>
      <c r="M82" s="35">
        <f t="shared" si="39"/>
        <v>0</v>
      </c>
      <c r="N82" s="35">
        <f t="shared" si="40"/>
        <v>0</v>
      </c>
      <c r="O82" s="47">
        <f t="shared" si="36"/>
        <v>0</v>
      </c>
      <c r="P82" s="50" t="e">
        <f t="shared" si="37"/>
        <v>#DIV/0!</v>
      </c>
      <c r="Q82" s="50"/>
      <c r="R82" s="126"/>
    </row>
    <row r="83" spans="1:18" s="6" customFormat="1" ht="47.25" hidden="1">
      <c r="A83" s="8"/>
      <c r="B83" s="14" t="s">
        <v>84</v>
      </c>
      <c r="C83" s="58" t="s">
        <v>85</v>
      </c>
      <c r="D83" s="36">
        <v>0</v>
      </c>
      <c r="E83" s="36">
        <v>0</v>
      </c>
      <c r="F83" s="143">
        <v>0</v>
      </c>
      <c r="G83" s="43">
        <f t="shared" si="32"/>
        <v>0</v>
      </c>
      <c r="H83" s="35" t="e">
        <f t="shared" si="33"/>
        <v>#DIV/0!</v>
      </c>
      <c r="I83" s="50">
        <f t="shared" si="34"/>
        <v>0</v>
      </c>
      <c r="J83" s="50" t="e">
        <f t="shared" si="35"/>
        <v>#DIV/0!</v>
      </c>
      <c r="K83" s="50"/>
      <c r="L83" s="50">
        <f t="shared" si="38"/>
        <v>0</v>
      </c>
      <c r="M83" s="35">
        <f t="shared" si="39"/>
        <v>0</v>
      </c>
      <c r="N83" s="35">
        <f t="shared" si="40"/>
        <v>0</v>
      </c>
      <c r="O83" s="47">
        <f t="shared" si="36"/>
        <v>0</v>
      </c>
      <c r="P83" s="50" t="e">
        <f t="shared" si="37"/>
        <v>#DIV/0!</v>
      </c>
      <c r="Q83" s="50"/>
      <c r="R83" s="126"/>
    </row>
    <row r="84" spans="1:18" s="6" customFormat="1" ht="31.5" hidden="1">
      <c r="A84" s="8"/>
      <c r="B84" s="14" t="s">
        <v>86</v>
      </c>
      <c r="C84" s="58" t="s">
        <v>87</v>
      </c>
      <c r="D84" s="36">
        <v>0</v>
      </c>
      <c r="E84" s="36">
        <v>0</v>
      </c>
      <c r="F84" s="143">
        <v>0</v>
      </c>
      <c r="G84" s="43">
        <f t="shared" si="32"/>
        <v>0</v>
      </c>
      <c r="H84" s="35" t="e">
        <f t="shared" si="33"/>
        <v>#DIV/0!</v>
      </c>
      <c r="I84" s="50">
        <f t="shared" si="34"/>
        <v>0</v>
      </c>
      <c r="J84" s="50" t="e">
        <f t="shared" si="35"/>
        <v>#DIV/0!</v>
      </c>
      <c r="K84" s="50"/>
      <c r="L84" s="50">
        <f t="shared" si="38"/>
        <v>0</v>
      </c>
      <c r="M84" s="35">
        <f t="shared" si="39"/>
        <v>0</v>
      </c>
      <c r="N84" s="35">
        <f t="shared" si="40"/>
        <v>0</v>
      </c>
      <c r="O84" s="47">
        <f t="shared" si="36"/>
        <v>0</v>
      </c>
      <c r="P84" s="50" t="e">
        <f t="shared" si="37"/>
        <v>#DIV/0!</v>
      </c>
      <c r="Q84" s="50"/>
      <c r="R84" s="126"/>
    </row>
    <row r="85" spans="1:18" s="6" customFormat="1" ht="15.75" hidden="1">
      <c r="A85" s="8"/>
      <c r="B85" s="11" t="s">
        <v>88</v>
      </c>
      <c r="C85" s="57" t="s">
        <v>89</v>
      </c>
      <c r="D85" s="36">
        <v>0</v>
      </c>
      <c r="E85" s="36">
        <v>0</v>
      </c>
      <c r="F85" s="143">
        <v>0</v>
      </c>
      <c r="G85" s="43">
        <f t="shared" si="32"/>
        <v>0</v>
      </c>
      <c r="H85" s="35" t="e">
        <f t="shared" si="33"/>
        <v>#DIV/0!</v>
      </c>
      <c r="I85" s="50">
        <f t="shared" si="34"/>
        <v>0</v>
      </c>
      <c r="J85" s="50" t="e">
        <f t="shared" si="35"/>
        <v>#DIV/0!</v>
      </c>
      <c r="K85" s="50"/>
      <c r="L85" s="50">
        <f t="shared" si="38"/>
        <v>0</v>
      </c>
      <c r="M85" s="35">
        <f t="shared" si="39"/>
        <v>0</v>
      </c>
      <c r="N85" s="35">
        <f t="shared" si="40"/>
        <v>0</v>
      </c>
      <c r="O85" s="47">
        <f t="shared" si="36"/>
        <v>0</v>
      </c>
      <c r="P85" s="50" t="e">
        <f t="shared" si="37"/>
        <v>#DIV/0!</v>
      </c>
      <c r="Q85" s="50"/>
      <c r="R85" s="126"/>
    </row>
    <row r="86" spans="1:18" s="6" customFormat="1" ht="31.5">
      <c r="A86" s="8"/>
      <c r="B86" s="68" t="s">
        <v>133</v>
      </c>
      <c r="C86" s="57">
        <v>21050000</v>
      </c>
      <c r="D86" s="36">
        <v>0</v>
      </c>
      <c r="E86" s="36">
        <v>0</v>
      </c>
      <c r="F86" s="143">
        <v>0</v>
      </c>
      <c r="G86" s="43">
        <f t="shared" si="32"/>
        <v>0</v>
      </c>
      <c r="H86" s="35" t="e">
        <f t="shared" si="33"/>
        <v>#DIV/0!</v>
      </c>
      <c r="I86" s="50">
        <f t="shared" si="34"/>
        <v>0</v>
      </c>
      <c r="J86" s="50" t="e">
        <f t="shared" si="35"/>
        <v>#DIV/0!</v>
      </c>
      <c r="K86" s="50">
        <f>F86-0</f>
        <v>0</v>
      </c>
      <c r="L86" s="50" t="e">
        <f>F86/0*100</f>
        <v>#DIV/0!</v>
      </c>
      <c r="M86" s="35">
        <f t="shared" si="39"/>
        <v>0</v>
      </c>
      <c r="N86" s="35">
        <f t="shared" si="40"/>
        <v>0</v>
      </c>
      <c r="O86" s="47">
        <f t="shared" si="36"/>
        <v>0</v>
      </c>
      <c r="P86" s="50" t="e">
        <f t="shared" si="37"/>
        <v>#DIV/0!</v>
      </c>
      <c r="Q86" s="50">
        <f>N86-0</f>
        <v>0</v>
      </c>
      <c r="R86" s="126" t="e">
        <f>N86/0</f>
        <v>#DIV/0!</v>
      </c>
    </row>
    <row r="87" spans="1:18" s="6" customFormat="1" ht="15.75">
      <c r="A87" s="8"/>
      <c r="B87" s="68" t="s">
        <v>169</v>
      </c>
      <c r="C87" s="57">
        <v>21080500</v>
      </c>
      <c r="D87" s="36"/>
      <c r="E87" s="36"/>
      <c r="F87" s="143">
        <v>1.67</v>
      </c>
      <c r="G87" s="43"/>
      <c r="H87" s="35"/>
      <c r="I87" s="50"/>
      <c r="J87" s="50"/>
      <c r="K87" s="50"/>
      <c r="L87" s="50"/>
      <c r="M87" s="35">
        <f t="shared" si="39"/>
        <v>0</v>
      </c>
      <c r="N87" s="35">
        <f t="shared" si="40"/>
        <v>1.67</v>
      </c>
      <c r="O87" s="47"/>
      <c r="P87" s="50"/>
      <c r="Q87" s="50">
        <f>N87-4.23</f>
        <v>-2.5600000000000005</v>
      </c>
      <c r="R87" s="126">
        <f>N87/4.23</f>
        <v>0.3947990543735224</v>
      </c>
    </row>
    <row r="88" spans="1:18" s="6" customFormat="1" ht="31.5">
      <c r="A88" s="8"/>
      <c r="B88" s="30" t="s">
        <v>123</v>
      </c>
      <c r="C88" s="94">
        <v>21080900</v>
      </c>
      <c r="D88" s="36">
        <v>32</v>
      </c>
      <c r="E88" s="36">
        <v>1</v>
      </c>
      <c r="F88" s="143">
        <v>0</v>
      </c>
      <c r="G88" s="43">
        <f t="shared" si="32"/>
        <v>-1</v>
      </c>
      <c r="H88" s="35">
        <f>F88/E88*100</f>
        <v>0</v>
      </c>
      <c r="I88" s="50">
        <f t="shared" si="34"/>
        <v>-32</v>
      </c>
      <c r="J88" s="50">
        <f t="shared" si="35"/>
        <v>0</v>
      </c>
      <c r="K88" s="50">
        <f>F88-0</f>
        <v>0</v>
      </c>
      <c r="L88" s="50" t="e">
        <f>F88/0*100</f>
        <v>#DIV/0!</v>
      </c>
      <c r="M88" s="35">
        <f t="shared" si="39"/>
        <v>1</v>
      </c>
      <c r="N88" s="35">
        <f t="shared" si="40"/>
        <v>0</v>
      </c>
      <c r="O88" s="47">
        <f t="shared" si="36"/>
        <v>-1</v>
      </c>
      <c r="P88" s="50">
        <f>N88/M88*100</f>
        <v>0</v>
      </c>
      <c r="Q88" s="50">
        <f>N88-0</f>
        <v>0</v>
      </c>
      <c r="R88" s="126"/>
    </row>
    <row r="89" spans="1:18" s="6" customFormat="1" ht="15.75">
      <c r="A89" s="8"/>
      <c r="B89" s="15" t="s">
        <v>90</v>
      </c>
      <c r="C89" s="95">
        <v>21081100</v>
      </c>
      <c r="D89" s="36">
        <v>60</v>
      </c>
      <c r="E89" s="36">
        <v>10</v>
      </c>
      <c r="F89" s="143">
        <v>7.57</v>
      </c>
      <c r="G89" s="43">
        <f t="shared" si="32"/>
        <v>-2.4299999999999997</v>
      </c>
      <c r="H89" s="35">
        <f>F89/E89*100</f>
        <v>75.7</v>
      </c>
      <c r="I89" s="50">
        <f t="shared" si="34"/>
        <v>-52.43</v>
      </c>
      <c r="J89" s="50">
        <f t="shared" si="35"/>
        <v>12.616666666666667</v>
      </c>
      <c r="K89" s="50">
        <f>F89-9.02</f>
        <v>-1.4499999999999993</v>
      </c>
      <c r="L89" s="50">
        <f>F89/9.02*100</f>
        <v>83.92461197339247</v>
      </c>
      <c r="M89" s="35">
        <f t="shared" si="39"/>
        <v>10</v>
      </c>
      <c r="N89" s="35">
        <f t="shared" si="40"/>
        <v>7.57</v>
      </c>
      <c r="O89" s="47">
        <f t="shared" si="36"/>
        <v>-2.4299999999999997</v>
      </c>
      <c r="P89" s="50">
        <f>N89/M89*100</f>
        <v>75.7</v>
      </c>
      <c r="Q89" s="50">
        <f>N89-9.02</f>
        <v>-1.4499999999999993</v>
      </c>
      <c r="R89" s="126">
        <f>N89/9.02</f>
        <v>0.8392461197339247</v>
      </c>
    </row>
    <row r="90" spans="1:18" s="6" customFormat="1" ht="78.75" hidden="1">
      <c r="A90" s="8"/>
      <c r="B90" s="14" t="s">
        <v>91</v>
      </c>
      <c r="C90" s="59" t="s">
        <v>92</v>
      </c>
      <c r="D90" s="36">
        <v>0</v>
      </c>
      <c r="E90" s="36">
        <v>0</v>
      </c>
      <c r="F90" s="143">
        <v>0</v>
      </c>
      <c r="G90" s="43">
        <f t="shared" si="32"/>
        <v>0</v>
      </c>
      <c r="H90" s="35" t="e">
        <f>F90/E90*100</f>
        <v>#DIV/0!</v>
      </c>
      <c r="I90" s="50">
        <f t="shared" si="34"/>
        <v>0</v>
      </c>
      <c r="J90" s="50" t="e">
        <f t="shared" si="35"/>
        <v>#DIV/0!</v>
      </c>
      <c r="K90" s="50"/>
      <c r="L90" s="50">
        <f t="shared" si="38"/>
        <v>0</v>
      </c>
      <c r="M90" s="35">
        <f t="shared" si="39"/>
        <v>0</v>
      </c>
      <c r="N90" s="35">
        <f t="shared" si="40"/>
        <v>0</v>
      </c>
      <c r="O90" s="47">
        <f t="shared" si="36"/>
        <v>0</v>
      </c>
      <c r="P90" s="50" t="e">
        <f>N90/M90*100</f>
        <v>#DIV/0!</v>
      </c>
      <c r="Q90" s="50"/>
      <c r="R90" s="126"/>
    </row>
    <row r="91" spans="1:18" s="6" customFormat="1" ht="15.75" hidden="1">
      <c r="A91" s="8"/>
      <c r="B91" s="14" t="s">
        <v>90</v>
      </c>
      <c r="C91" s="59" t="s">
        <v>93</v>
      </c>
      <c r="D91" s="36">
        <v>0</v>
      </c>
      <c r="E91" s="36">
        <v>0</v>
      </c>
      <c r="F91" s="143">
        <v>0</v>
      </c>
      <c r="G91" s="43">
        <f t="shared" si="32"/>
        <v>0</v>
      </c>
      <c r="H91" s="35" t="e">
        <f>F91/E91*100</f>
        <v>#DIV/0!</v>
      </c>
      <c r="I91" s="50">
        <f t="shared" si="34"/>
        <v>0</v>
      </c>
      <c r="J91" s="50" t="e">
        <f t="shared" si="35"/>
        <v>#DIV/0!</v>
      </c>
      <c r="K91" s="50"/>
      <c r="L91" s="50">
        <f t="shared" si="38"/>
        <v>0</v>
      </c>
      <c r="M91" s="35">
        <f t="shared" si="39"/>
        <v>0</v>
      </c>
      <c r="N91" s="35">
        <f t="shared" si="40"/>
        <v>0</v>
      </c>
      <c r="O91" s="47">
        <f t="shared" si="36"/>
        <v>0</v>
      </c>
      <c r="P91" s="50" t="e">
        <f>N91/M91*100</f>
        <v>#DIV/0!</v>
      </c>
      <c r="Q91" s="50"/>
      <c r="R91" s="126"/>
    </row>
    <row r="92" spans="1:18" s="6" customFormat="1" ht="15.75" hidden="1">
      <c r="A92" s="8"/>
      <c r="B92" s="11" t="s">
        <v>94</v>
      </c>
      <c r="C92" s="57" t="s">
        <v>95</v>
      </c>
      <c r="D92" s="36">
        <v>0</v>
      </c>
      <c r="E92" s="36">
        <v>0</v>
      </c>
      <c r="F92" s="143">
        <v>0</v>
      </c>
      <c r="G92" s="43">
        <f t="shared" si="32"/>
        <v>0</v>
      </c>
      <c r="H92" s="35" t="e">
        <f>F92/E92*100</f>
        <v>#DIV/0!</v>
      </c>
      <c r="I92" s="50">
        <f t="shared" si="34"/>
        <v>0</v>
      </c>
      <c r="J92" s="50" t="e">
        <f t="shared" si="35"/>
        <v>#DIV/0!</v>
      </c>
      <c r="K92" s="50"/>
      <c r="L92" s="50">
        <f t="shared" si="38"/>
        <v>0</v>
      </c>
      <c r="M92" s="35">
        <f t="shared" si="39"/>
        <v>0</v>
      </c>
      <c r="N92" s="35">
        <f t="shared" si="40"/>
        <v>0</v>
      </c>
      <c r="O92" s="47">
        <f t="shared" si="36"/>
        <v>0</v>
      </c>
      <c r="P92" s="50" t="e">
        <f>N92/M92*100</f>
        <v>#DIV/0!</v>
      </c>
      <c r="Q92" s="50"/>
      <c r="R92" s="126"/>
    </row>
    <row r="93" spans="1:18" s="6" customFormat="1" ht="31.5" hidden="1">
      <c r="A93" s="8"/>
      <c r="B93" s="60" t="s">
        <v>126</v>
      </c>
      <c r="C93" s="57"/>
      <c r="D93" s="36">
        <v>0</v>
      </c>
      <c r="E93" s="36">
        <v>0</v>
      </c>
      <c r="F93" s="143">
        <v>0</v>
      </c>
      <c r="G93" s="43"/>
      <c r="H93" s="35"/>
      <c r="I93" s="50"/>
      <c r="J93" s="50"/>
      <c r="K93" s="50"/>
      <c r="L93" s="50">
        <f t="shared" si="38"/>
        <v>0</v>
      </c>
      <c r="M93" s="35">
        <f t="shared" si="39"/>
        <v>0</v>
      </c>
      <c r="N93" s="35">
        <f t="shared" si="40"/>
        <v>0</v>
      </c>
      <c r="O93" s="47"/>
      <c r="P93" s="50"/>
      <c r="Q93" s="50"/>
      <c r="R93" s="126"/>
    </row>
    <row r="94" spans="1:18" s="6" customFormat="1" ht="47.25" hidden="1">
      <c r="A94" s="8"/>
      <c r="B94" s="41" t="s">
        <v>137</v>
      </c>
      <c r="C94" s="96">
        <v>22010900</v>
      </c>
      <c r="D94" s="36">
        <v>0</v>
      </c>
      <c r="E94" s="36">
        <v>0</v>
      </c>
      <c r="F94" s="143">
        <v>0</v>
      </c>
      <c r="G94" s="43">
        <f aca="true" t="shared" si="41" ref="G94:G101">F94-E94</f>
        <v>0</v>
      </c>
      <c r="H94" s="35"/>
      <c r="I94" s="50">
        <f aca="true" t="shared" si="42" ref="I94:I100">F94-D94</f>
        <v>0</v>
      </c>
      <c r="J94" s="50"/>
      <c r="K94" s="50"/>
      <c r="L94" s="50">
        <f t="shared" si="38"/>
        <v>0</v>
      </c>
      <c r="M94" s="35">
        <f t="shared" si="39"/>
        <v>0</v>
      </c>
      <c r="N94" s="35">
        <f t="shared" si="40"/>
        <v>0</v>
      </c>
      <c r="O94" s="47">
        <f aca="true" t="shared" si="43" ref="O94:O101">N94-M94</f>
        <v>0</v>
      </c>
      <c r="P94" s="50"/>
      <c r="Q94" s="50"/>
      <c r="R94" s="126"/>
    </row>
    <row r="95" spans="1:18" s="6" customFormat="1" ht="31.5">
      <c r="A95" s="8"/>
      <c r="B95" s="15" t="s">
        <v>78</v>
      </c>
      <c r="C95" s="67">
        <v>22080401</v>
      </c>
      <c r="D95" s="36">
        <v>3780</v>
      </c>
      <c r="E95" s="36">
        <v>630</v>
      </c>
      <c r="F95" s="143">
        <v>690.7</v>
      </c>
      <c r="G95" s="43">
        <f t="shared" si="41"/>
        <v>60.700000000000045</v>
      </c>
      <c r="H95" s="35">
        <f>F95/E95*100</f>
        <v>109.63492063492065</v>
      </c>
      <c r="I95" s="50">
        <f t="shared" si="42"/>
        <v>-3089.3</v>
      </c>
      <c r="J95" s="50">
        <f>F95/D95*100</f>
        <v>18.272486772486772</v>
      </c>
      <c r="K95" s="50">
        <f>F95-647.49</f>
        <v>43.210000000000036</v>
      </c>
      <c r="L95" s="50">
        <f>F95/647.49*100</f>
        <v>106.6734621384114</v>
      </c>
      <c r="M95" s="35">
        <f t="shared" si="39"/>
        <v>630</v>
      </c>
      <c r="N95" s="35">
        <f t="shared" si="40"/>
        <v>690.7</v>
      </c>
      <c r="O95" s="47">
        <f t="shared" si="43"/>
        <v>60.700000000000045</v>
      </c>
      <c r="P95" s="50">
        <f>N95/M95*100</f>
        <v>109.63492063492065</v>
      </c>
      <c r="Q95" s="50">
        <f>N95-647.49</f>
        <v>43.210000000000036</v>
      </c>
      <c r="R95" s="126">
        <f>N95/647.49</f>
        <v>1.066734621384114</v>
      </c>
    </row>
    <row r="96" spans="1:18" s="6" customFormat="1" ht="15.75">
      <c r="A96" s="8"/>
      <c r="B96" s="15" t="s">
        <v>80</v>
      </c>
      <c r="C96" s="59">
        <v>22090000</v>
      </c>
      <c r="D96" s="36">
        <v>420</v>
      </c>
      <c r="E96" s="36">
        <v>70</v>
      </c>
      <c r="F96" s="143">
        <v>59.21</v>
      </c>
      <c r="G96" s="43">
        <f t="shared" si="41"/>
        <v>-10.79</v>
      </c>
      <c r="H96" s="35">
        <f>F96/E96*100</f>
        <v>84.58571428571429</v>
      </c>
      <c r="I96" s="50">
        <f t="shared" si="42"/>
        <v>-360.79</v>
      </c>
      <c r="J96" s="50">
        <f>F96/D96*100</f>
        <v>14.097619047619048</v>
      </c>
      <c r="K96" s="50">
        <f>F96-79.51</f>
        <v>-20.300000000000004</v>
      </c>
      <c r="L96" s="50">
        <f>F96/79.51*100</f>
        <v>74.46862029933341</v>
      </c>
      <c r="M96" s="35">
        <f t="shared" si="39"/>
        <v>70</v>
      </c>
      <c r="N96" s="35">
        <f t="shared" si="40"/>
        <v>59.21</v>
      </c>
      <c r="O96" s="47">
        <f t="shared" si="43"/>
        <v>-10.79</v>
      </c>
      <c r="P96" s="50">
        <f>N96/M96*100</f>
        <v>84.58571428571429</v>
      </c>
      <c r="Q96" s="50">
        <f>N96-79.51</f>
        <v>-20.300000000000004</v>
      </c>
      <c r="R96" s="126">
        <f>N96/79.51</f>
        <v>0.7446862029933341</v>
      </c>
    </row>
    <row r="97" spans="1:18" s="6" customFormat="1" ht="47.25">
      <c r="A97" s="8"/>
      <c r="B97" s="15" t="s">
        <v>96</v>
      </c>
      <c r="C97" s="13" t="s">
        <v>97</v>
      </c>
      <c r="D97" s="36">
        <v>0</v>
      </c>
      <c r="E97" s="36">
        <v>0</v>
      </c>
      <c r="F97" s="143">
        <v>0</v>
      </c>
      <c r="G97" s="43">
        <f t="shared" si="41"/>
        <v>0</v>
      </c>
      <c r="H97" s="35"/>
      <c r="I97" s="50">
        <f t="shared" si="42"/>
        <v>0</v>
      </c>
      <c r="J97" s="50"/>
      <c r="K97" s="50"/>
      <c r="L97" s="50"/>
      <c r="M97" s="35">
        <f t="shared" si="39"/>
        <v>0</v>
      </c>
      <c r="N97" s="35">
        <f t="shared" si="40"/>
        <v>0</v>
      </c>
      <c r="O97" s="47">
        <f t="shared" si="43"/>
        <v>0</v>
      </c>
      <c r="P97" s="50"/>
      <c r="Q97" s="50">
        <f>N97-0</f>
        <v>0</v>
      </c>
      <c r="R97" s="126"/>
    </row>
    <row r="98" spans="1:18" s="6" customFormat="1" ht="15.75" hidden="1">
      <c r="A98" s="8"/>
      <c r="B98" s="12" t="s">
        <v>73</v>
      </c>
      <c r="C98" s="59" t="s">
        <v>98</v>
      </c>
      <c r="D98" s="36">
        <v>0</v>
      </c>
      <c r="E98" s="36">
        <v>0</v>
      </c>
      <c r="F98" s="143">
        <v>0</v>
      </c>
      <c r="G98" s="43">
        <f t="shared" si="41"/>
        <v>0</v>
      </c>
      <c r="H98" s="35" t="e">
        <f>F98/E98*100</f>
        <v>#DIV/0!</v>
      </c>
      <c r="I98" s="50">
        <f t="shared" si="42"/>
        <v>0</v>
      </c>
      <c r="J98" s="50" t="e">
        <f>F98/D98*100</f>
        <v>#DIV/0!</v>
      </c>
      <c r="K98" s="50"/>
      <c r="L98" s="50">
        <f t="shared" si="38"/>
        <v>0</v>
      </c>
      <c r="M98" s="35">
        <f t="shared" si="39"/>
        <v>0</v>
      </c>
      <c r="N98" s="35">
        <f t="shared" si="40"/>
        <v>0</v>
      </c>
      <c r="O98" s="47">
        <f t="shared" si="43"/>
        <v>0</v>
      </c>
      <c r="P98" s="50" t="e">
        <f>N98/M98*100</f>
        <v>#DIV/0!</v>
      </c>
      <c r="Q98" s="50"/>
      <c r="R98" s="126"/>
    </row>
    <row r="99" spans="1:18" s="6" customFormat="1" ht="15.75" customHeight="1">
      <c r="A99" s="8"/>
      <c r="B99" s="14" t="s">
        <v>73</v>
      </c>
      <c r="C99" s="13" t="s">
        <v>99</v>
      </c>
      <c r="D99" s="36">
        <v>2280</v>
      </c>
      <c r="E99" s="36">
        <v>380</v>
      </c>
      <c r="F99" s="143">
        <v>263.2</v>
      </c>
      <c r="G99" s="43">
        <f t="shared" si="41"/>
        <v>-116.80000000000001</v>
      </c>
      <c r="H99" s="35">
        <f>F99/E99*100</f>
        <v>69.26315789473684</v>
      </c>
      <c r="I99" s="50">
        <f t="shared" si="42"/>
        <v>-2016.8</v>
      </c>
      <c r="J99" s="50">
        <f>F99/D99*100</f>
        <v>11.543859649122806</v>
      </c>
      <c r="K99" s="50">
        <f>F99-277.38</f>
        <v>-14.180000000000007</v>
      </c>
      <c r="L99" s="50">
        <f>F99/277.38*100</f>
        <v>94.88787944336289</v>
      </c>
      <c r="M99" s="35">
        <f t="shared" si="39"/>
        <v>380</v>
      </c>
      <c r="N99" s="35">
        <f t="shared" si="40"/>
        <v>263.2</v>
      </c>
      <c r="O99" s="47">
        <f t="shared" si="43"/>
        <v>-116.80000000000001</v>
      </c>
      <c r="P99" s="50">
        <f>N99/M99*100</f>
        <v>69.26315789473684</v>
      </c>
      <c r="Q99" s="50">
        <f>N99-277.38</f>
        <v>-14.180000000000007</v>
      </c>
      <c r="R99" s="126">
        <f>N99/277.38</f>
        <v>0.9488787944336289</v>
      </c>
    </row>
    <row r="100" spans="1:18" s="6" customFormat="1" ht="31.5" customHeight="1" hidden="1">
      <c r="A100" s="8"/>
      <c r="B100" s="14" t="s">
        <v>100</v>
      </c>
      <c r="C100" s="83" t="s">
        <v>101</v>
      </c>
      <c r="D100" s="36">
        <v>0</v>
      </c>
      <c r="E100" s="36">
        <v>0</v>
      </c>
      <c r="F100" s="143">
        <v>0</v>
      </c>
      <c r="G100" s="43">
        <f t="shared" si="41"/>
        <v>0</v>
      </c>
      <c r="H100" s="35" t="e">
        <f>F100/E100*100</f>
        <v>#DIV/0!</v>
      </c>
      <c r="I100" s="50">
        <f t="shared" si="42"/>
        <v>0</v>
      </c>
      <c r="J100" s="50" t="e">
        <f>F100/D100*100</f>
        <v>#DIV/0!</v>
      </c>
      <c r="K100" s="50"/>
      <c r="L100" s="50">
        <f t="shared" si="38"/>
        <v>0</v>
      </c>
      <c r="M100" s="35">
        <f t="shared" si="39"/>
        <v>0</v>
      </c>
      <c r="N100" s="35">
        <f t="shared" si="40"/>
        <v>0</v>
      </c>
      <c r="O100" s="47">
        <f t="shared" si="43"/>
        <v>0</v>
      </c>
      <c r="P100" s="50" t="e">
        <f>F100/M100*100</f>
        <v>#DIV/0!</v>
      </c>
      <c r="Q100" s="50"/>
      <c r="R100" s="126">
        <f>N100/277.38</f>
        <v>0</v>
      </c>
    </row>
    <row r="101" spans="1:18" s="6" customFormat="1" ht="15.75" hidden="1">
      <c r="A101" s="8"/>
      <c r="B101" s="14" t="s">
        <v>102</v>
      </c>
      <c r="C101" s="83" t="s">
        <v>103</v>
      </c>
      <c r="D101" s="36">
        <v>0</v>
      </c>
      <c r="E101" s="36">
        <v>0</v>
      </c>
      <c r="F101" s="143">
        <v>0</v>
      </c>
      <c r="G101" s="43">
        <f t="shared" si="41"/>
        <v>0</v>
      </c>
      <c r="H101" s="35" t="e">
        <f>F101/E101*100</f>
        <v>#DIV/0!</v>
      </c>
      <c r="I101" s="50"/>
      <c r="J101" s="50" t="e">
        <f>F101/D101*100</f>
        <v>#DIV/0!</v>
      </c>
      <c r="K101" s="50"/>
      <c r="L101" s="50">
        <f t="shared" si="38"/>
        <v>0</v>
      </c>
      <c r="M101" s="35">
        <f t="shared" si="39"/>
        <v>0</v>
      </c>
      <c r="N101" s="35">
        <f t="shared" si="40"/>
        <v>0</v>
      </c>
      <c r="O101" s="47">
        <f t="shared" si="43"/>
        <v>0</v>
      </c>
      <c r="P101" s="50"/>
      <c r="Q101" s="50"/>
      <c r="R101" s="126">
        <f>N101/277.38</f>
        <v>0</v>
      </c>
    </row>
    <row r="102" spans="1:18" s="6" customFormat="1" ht="31.5">
      <c r="A102" s="8"/>
      <c r="B102" s="69" t="s">
        <v>127</v>
      </c>
      <c r="C102" s="83"/>
      <c r="D102" s="135"/>
      <c r="E102" s="135"/>
      <c r="F102" s="144">
        <v>81.9</v>
      </c>
      <c r="G102" s="135"/>
      <c r="H102" s="137"/>
      <c r="I102" s="136"/>
      <c r="J102" s="136"/>
      <c r="K102" s="136">
        <f>F102-64.93</f>
        <v>16.97</v>
      </c>
      <c r="L102" s="138">
        <f>F102/64.93*100</f>
        <v>126.13583859541045</v>
      </c>
      <c r="M102" s="35">
        <f t="shared" si="39"/>
        <v>0</v>
      </c>
      <c r="N102" s="35">
        <f t="shared" si="40"/>
        <v>81.9</v>
      </c>
      <c r="O102" s="47"/>
      <c r="P102" s="50"/>
      <c r="Q102" s="50">
        <f>N102-64.93</f>
        <v>16.97</v>
      </c>
      <c r="R102" s="126">
        <f>N102/64.93</f>
        <v>1.2613583859541044</v>
      </c>
    </row>
    <row r="103" spans="1:18" s="6" customFormat="1" ht="44.25" customHeight="1">
      <c r="A103" s="8"/>
      <c r="B103" s="14" t="s">
        <v>128</v>
      </c>
      <c r="C103" s="59">
        <v>24061900</v>
      </c>
      <c r="D103" s="36">
        <v>0</v>
      </c>
      <c r="E103" s="36">
        <v>0</v>
      </c>
      <c r="F103" s="143">
        <v>0</v>
      </c>
      <c r="G103" s="43"/>
      <c r="H103" s="35"/>
      <c r="I103" s="50">
        <f aca="true" t="shared" si="44" ref="I103:I110">F103-D103</f>
        <v>0</v>
      </c>
      <c r="J103" s="50"/>
      <c r="K103" s="50">
        <f>F103-0</f>
        <v>0</v>
      </c>
      <c r="L103" s="50" t="e">
        <f>F103/0*100</f>
        <v>#DIV/0!</v>
      </c>
      <c r="M103" s="35">
        <f t="shared" si="39"/>
        <v>0</v>
      </c>
      <c r="N103" s="35">
        <f t="shared" si="40"/>
        <v>0</v>
      </c>
      <c r="O103" s="47">
        <f aca="true" t="shared" si="45" ref="O103:O109">N103-M103</f>
        <v>0</v>
      </c>
      <c r="P103" s="50"/>
      <c r="Q103" s="50"/>
      <c r="R103" s="126"/>
    </row>
    <row r="104" spans="1:18" s="6" customFormat="1" ht="31.5">
      <c r="A104" s="8"/>
      <c r="B104" s="14" t="s">
        <v>129</v>
      </c>
      <c r="C104" s="59">
        <v>31010200</v>
      </c>
      <c r="D104" s="36">
        <v>11</v>
      </c>
      <c r="E104" s="36">
        <v>2</v>
      </c>
      <c r="F104" s="143">
        <v>1.8</v>
      </c>
      <c r="G104" s="43">
        <f>F104-E104</f>
        <v>-0.19999999999999996</v>
      </c>
      <c r="H104" s="35"/>
      <c r="I104" s="50">
        <f t="shared" si="44"/>
        <v>-9.2</v>
      </c>
      <c r="J104" s="50">
        <f aca="true" t="shared" si="46" ref="J104:J109">F104/D104*100</f>
        <v>16.363636363636363</v>
      </c>
      <c r="K104" s="50">
        <f>F104-2.2</f>
        <v>-0.40000000000000013</v>
      </c>
      <c r="L104" s="50">
        <f>F104/2.21*100</f>
        <v>81.44796380090497</v>
      </c>
      <c r="M104" s="35">
        <f t="shared" si="39"/>
        <v>2</v>
      </c>
      <c r="N104" s="35">
        <f t="shared" si="40"/>
        <v>1.8</v>
      </c>
      <c r="O104" s="47">
        <f t="shared" si="45"/>
        <v>-0.19999999999999996</v>
      </c>
      <c r="P104" s="50"/>
      <c r="Q104" s="50"/>
      <c r="R104" s="126"/>
    </row>
    <row r="105" spans="1:18" s="6" customFormat="1" ht="31.5">
      <c r="A105" s="8"/>
      <c r="B105" s="14" t="s">
        <v>165</v>
      </c>
      <c r="C105" s="59">
        <v>31020000</v>
      </c>
      <c r="D105" s="36">
        <v>0</v>
      </c>
      <c r="E105" s="36">
        <v>0</v>
      </c>
      <c r="F105" s="143">
        <v>0</v>
      </c>
      <c r="G105" s="43"/>
      <c r="H105" s="35"/>
      <c r="I105" s="50"/>
      <c r="J105" s="50"/>
      <c r="K105" s="50"/>
      <c r="L105" s="50"/>
      <c r="M105" s="35">
        <f t="shared" si="39"/>
        <v>0</v>
      </c>
      <c r="N105" s="35">
        <f t="shared" si="40"/>
        <v>0</v>
      </c>
      <c r="O105" s="47">
        <f t="shared" si="45"/>
        <v>0</v>
      </c>
      <c r="P105" s="50"/>
      <c r="Q105" s="50"/>
      <c r="R105" s="126"/>
    </row>
    <row r="106" spans="1:21" s="6" customFormat="1" ht="18.75">
      <c r="A106" s="9"/>
      <c r="B106" s="17" t="s">
        <v>109</v>
      </c>
      <c r="C106" s="84"/>
      <c r="D106" s="18">
        <f>D8+D74+D104+D105</f>
        <v>196413.7</v>
      </c>
      <c r="E106" s="18">
        <f>E8+E74+E104+E105</f>
        <v>19770.95</v>
      </c>
      <c r="F106" s="112">
        <f>F8+F74+F104+F105</f>
        <v>36112.920000000006</v>
      </c>
      <c r="G106" s="44">
        <f>F106-E106</f>
        <v>16341.970000000005</v>
      </c>
      <c r="H106" s="45">
        <f>F106/E106*100</f>
        <v>182.6564732600103</v>
      </c>
      <c r="I106" s="31">
        <f t="shared" si="44"/>
        <v>-160300.78</v>
      </c>
      <c r="J106" s="31">
        <f t="shared" si="46"/>
        <v>18.386151271525357</v>
      </c>
      <c r="K106" s="31">
        <f>F106-34768</f>
        <v>1344.9200000000055</v>
      </c>
      <c r="L106" s="31">
        <f>F106/34768*100</f>
        <v>103.86826967326279</v>
      </c>
      <c r="M106" s="18">
        <f>M8+M74+M104+M105</f>
        <v>19770.95</v>
      </c>
      <c r="N106" s="18">
        <f>N8+N74+N104+N105</f>
        <v>36112.920000000006</v>
      </c>
      <c r="O106" s="49">
        <f t="shared" si="45"/>
        <v>16341.970000000005</v>
      </c>
      <c r="P106" s="31">
        <f>N106/M106*100</f>
        <v>182.6564732600103</v>
      </c>
      <c r="Q106" s="31">
        <f>N106-34768</f>
        <v>1344.9200000000055</v>
      </c>
      <c r="R106" s="127">
        <f>N106/34768</f>
        <v>1.038682696732628</v>
      </c>
      <c r="S106" s="161">
        <f>S123+S127+S10</f>
        <v>2626.7959999999985</v>
      </c>
      <c r="T106" s="160" t="s">
        <v>192</v>
      </c>
      <c r="U106" s="66" t="s">
        <v>198</v>
      </c>
    </row>
    <row r="107" spans="1:20" s="66" customFormat="1" ht="18.75">
      <c r="A107" s="62"/>
      <c r="B107" s="63" t="s">
        <v>141</v>
      </c>
      <c r="C107" s="85"/>
      <c r="D107" s="64">
        <f>D10-D18+D96</f>
        <v>144383.7</v>
      </c>
      <c r="E107" s="64">
        <f>E10-E18+E96</f>
        <v>11414.95</v>
      </c>
      <c r="F107" s="112">
        <f>F10+F96</f>
        <v>29070.93</v>
      </c>
      <c r="G107" s="64">
        <f>G10-G18+G96</f>
        <v>17655.98</v>
      </c>
      <c r="H107" s="65">
        <f>F107/E107*100</f>
        <v>254.6741772850516</v>
      </c>
      <c r="I107" s="46">
        <f t="shared" si="44"/>
        <v>-115312.77000000002</v>
      </c>
      <c r="J107" s="46">
        <f t="shared" si="46"/>
        <v>20.134495791422438</v>
      </c>
      <c r="K107" s="46">
        <f>F107-26647.6</f>
        <v>2423.3300000000017</v>
      </c>
      <c r="L107" s="46">
        <f>F107/26647.6*100</f>
        <v>109.0939897026374</v>
      </c>
      <c r="M107" s="64">
        <f>M10-M18+M96</f>
        <v>11414.95</v>
      </c>
      <c r="N107" s="64">
        <f>N10-N18+N96</f>
        <v>29070.93</v>
      </c>
      <c r="O107" s="47">
        <f t="shared" si="45"/>
        <v>17655.98</v>
      </c>
      <c r="P107" s="46">
        <f>N107/M107*100</f>
        <v>254.6741772850516</v>
      </c>
      <c r="Q107" s="46">
        <f>N107-26647.62</f>
        <v>2423.3100000000013</v>
      </c>
      <c r="R107" s="128">
        <f>N107/26647.62</f>
        <v>1.0909390782366306</v>
      </c>
      <c r="S107" s="163">
        <v>1855.3</v>
      </c>
      <c r="T107" s="164" t="s">
        <v>195</v>
      </c>
    </row>
    <row r="108" spans="1:20" s="66" customFormat="1" ht="18.75">
      <c r="A108" s="62"/>
      <c r="B108" s="63" t="s">
        <v>142</v>
      </c>
      <c r="C108" s="85"/>
      <c r="D108" s="64">
        <f>D106-D107</f>
        <v>52030</v>
      </c>
      <c r="E108" s="64">
        <f>E106-E107</f>
        <v>8356</v>
      </c>
      <c r="F108" s="112">
        <f>F106-F107</f>
        <v>7041.990000000005</v>
      </c>
      <c r="G108" s="55">
        <f>F108-E108</f>
        <v>-1314.0099999999948</v>
      </c>
      <c r="H108" s="65">
        <f>F108/E108*100</f>
        <v>84.27465294399241</v>
      </c>
      <c r="I108" s="46">
        <f t="shared" si="44"/>
        <v>-44988.009999999995</v>
      </c>
      <c r="J108" s="46">
        <f t="shared" si="46"/>
        <v>13.534480107630223</v>
      </c>
      <c r="K108" s="46">
        <f>F108-8120.4</f>
        <v>-1078.4099999999944</v>
      </c>
      <c r="L108" s="46">
        <f>F108/8120.4*100</f>
        <v>86.71974286980944</v>
      </c>
      <c r="M108" s="64">
        <f>M106-M107</f>
        <v>8356</v>
      </c>
      <c r="N108" s="64">
        <f>N106-N107</f>
        <v>7041.990000000005</v>
      </c>
      <c r="O108" s="47">
        <f t="shared" si="45"/>
        <v>-1314.0099999999948</v>
      </c>
      <c r="P108" s="46">
        <f>N108/M108*100</f>
        <v>84.27465294399241</v>
      </c>
      <c r="Q108" s="46">
        <f>N108-8120.38</f>
        <v>-1078.3899999999949</v>
      </c>
      <c r="R108" s="162">
        <f>N108/8120.38</f>
        <v>0.8671995645523984</v>
      </c>
      <c r="S108" s="165"/>
      <c r="T108" s="166"/>
    </row>
    <row r="109" spans="1:18" s="66" customFormat="1" ht="18.75" hidden="1">
      <c r="A109" s="62"/>
      <c r="B109" s="75" t="s">
        <v>150</v>
      </c>
      <c r="C109" s="85"/>
      <c r="D109" s="64">
        <v>0</v>
      </c>
      <c r="E109" s="112">
        <v>0</v>
      </c>
      <c r="F109" s="112">
        <v>0</v>
      </c>
      <c r="G109" s="102">
        <f>F109-E109</f>
        <v>0</v>
      </c>
      <c r="H109" s="65" t="e">
        <f>F109/E109*100</f>
        <v>#DIV/0!</v>
      </c>
      <c r="I109" s="74">
        <f t="shared" si="44"/>
        <v>0</v>
      </c>
      <c r="J109" s="46" t="e">
        <f t="shared" si="46"/>
        <v>#DIV/0!</v>
      </c>
      <c r="K109" s="46"/>
      <c r="L109" s="46"/>
      <c r="M109" s="113">
        <f>E109</f>
        <v>0</v>
      </c>
      <c r="N109" s="64"/>
      <c r="O109" s="109">
        <f t="shared" si="45"/>
        <v>0</v>
      </c>
      <c r="P109" s="46" t="e">
        <f>N109/M109*100</f>
        <v>#DIV/0!</v>
      </c>
      <c r="Q109" s="46"/>
      <c r="R109" s="128"/>
    </row>
    <row r="110" spans="1:18" s="66" customFormat="1" ht="18.75" hidden="1">
      <c r="A110" s="62"/>
      <c r="B110" s="76" t="s">
        <v>152</v>
      </c>
      <c r="C110" s="85"/>
      <c r="D110" s="77">
        <v>1171.6179</v>
      </c>
      <c r="E110" s="64">
        <v>1171.6179</v>
      </c>
      <c r="F110" s="112">
        <f>'[2]січень'!$C$27/1000</f>
        <v>0</v>
      </c>
      <c r="G110" s="55">
        <f>F110-E110</f>
        <v>-1171.6179</v>
      </c>
      <c r="H110" s="65"/>
      <c r="I110" s="78">
        <f t="shared" si="44"/>
        <v>-1171.6179</v>
      </c>
      <c r="J110" s="46"/>
      <c r="K110" s="46"/>
      <c r="L110" s="46"/>
      <c r="M110" s="35">
        <f>E110</f>
        <v>1171.6179</v>
      </c>
      <c r="N110" s="64">
        <f>F110</f>
        <v>0</v>
      </c>
      <c r="O110" s="79">
        <f>N110-M110</f>
        <v>-1171.6179</v>
      </c>
      <c r="P110" s="46">
        <f>N110/M110*100</f>
        <v>0</v>
      </c>
      <c r="Q110" s="46"/>
      <c r="R110" s="128"/>
    </row>
    <row r="111" spans="1:18" s="66" customFormat="1" ht="37.5" hidden="1">
      <c r="A111" s="62"/>
      <c r="B111" s="76" t="s">
        <v>177</v>
      </c>
      <c r="C111" s="85"/>
      <c r="D111" s="77"/>
      <c r="E111" s="43">
        <v>0</v>
      </c>
      <c r="F111" s="147">
        <v>0</v>
      </c>
      <c r="G111" s="55">
        <f>F111-E111</f>
        <v>0</v>
      </c>
      <c r="H111" s="65"/>
      <c r="I111" s="78"/>
      <c r="J111" s="46"/>
      <c r="K111" s="46"/>
      <c r="L111" s="46"/>
      <c r="M111" s="35">
        <v>0</v>
      </c>
      <c r="N111" s="77">
        <v>0</v>
      </c>
      <c r="O111" s="109">
        <f>N111-M111</f>
        <v>0</v>
      </c>
      <c r="P111" s="46"/>
      <c r="Q111" s="46"/>
      <c r="R111" s="128"/>
    </row>
    <row r="112" spans="2:18" ht="15.75">
      <c r="B112" s="25" t="s">
        <v>110</v>
      </c>
      <c r="C112" s="86"/>
      <c r="D112" s="28"/>
      <c r="E112" s="28"/>
      <c r="F112" s="146"/>
      <c r="G112" s="43"/>
      <c r="H112" s="35"/>
      <c r="I112" s="53"/>
      <c r="J112" s="53"/>
      <c r="K112" s="53"/>
      <c r="L112" s="53"/>
      <c r="M112" s="36"/>
      <c r="N112" s="36"/>
      <c r="O112" s="47"/>
      <c r="P112" s="53"/>
      <c r="Q112" s="53"/>
      <c r="R112" s="129"/>
    </row>
    <row r="113" spans="2:18" ht="15.75" customHeight="1">
      <c r="B113" s="48" t="s">
        <v>138</v>
      </c>
      <c r="C113" s="97">
        <v>12020000</v>
      </c>
      <c r="D113" s="28">
        <v>0</v>
      </c>
      <c r="E113" s="28">
        <v>0</v>
      </c>
      <c r="F113" s="146">
        <v>0</v>
      </c>
      <c r="G113" s="43">
        <f aca="true" t="shared" si="47" ref="G113:G125">F113-E113</f>
        <v>0</v>
      </c>
      <c r="H113" s="35"/>
      <c r="I113" s="53">
        <f aca="true" t="shared" si="48" ref="I113:I124">F113-D113</f>
        <v>0</v>
      </c>
      <c r="J113" s="53"/>
      <c r="K113" s="53">
        <f>F113-0.18</f>
        <v>-0.18</v>
      </c>
      <c r="L113" s="53">
        <f>F113/0.18*100</f>
        <v>0</v>
      </c>
      <c r="M113" s="35">
        <f aca="true" t="shared" si="49" ref="M113:N115">E113</f>
        <v>0</v>
      </c>
      <c r="N113" s="35">
        <f t="shared" si="49"/>
        <v>0</v>
      </c>
      <c r="O113" s="47"/>
      <c r="P113" s="53"/>
      <c r="Q113" s="53">
        <f>N113-0.18</f>
        <v>-0.18</v>
      </c>
      <c r="R113" s="129"/>
    </row>
    <row r="114" spans="2:18" ht="15.75">
      <c r="B114" s="26" t="s">
        <v>131</v>
      </c>
      <c r="C114" s="97">
        <v>12030000</v>
      </c>
      <c r="D114" s="28">
        <v>4283.157</v>
      </c>
      <c r="E114" s="28">
        <v>713.859</v>
      </c>
      <c r="F114" s="146">
        <v>16.82</v>
      </c>
      <c r="G114" s="43">
        <f t="shared" si="47"/>
        <v>-697.039</v>
      </c>
      <c r="H114" s="35">
        <f aca="true" t="shared" si="50" ref="H114:H125">F114/E114*100</f>
        <v>2.3562075984192954</v>
      </c>
      <c r="I114" s="53">
        <f t="shared" si="48"/>
        <v>-4266.337</v>
      </c>
      <c r="J114" s="53">
        <f aca="true" t="shared" si="51" ref="J114:J120">F114/D114*100</f>
        <v>0.39270099134820413</v>
      </c>
      <c r="K114" s="53">
        <f>F114-68.14</f>
        <v>-51.32</v>
      </c>
      <c r="L114" s="53">
        <f>F114/68.14*100</f>
        <v>24.68447314352803</v>
      </c>
      <c r="M114" s="35">
        <f t="shared" si="49"/>
        <v>713.859</v>
      </c>
      <c r="N114" s="35">
        <f t="shared" si="49"/>
        <v>16.82</v>
      </c>
      <c r="O114" s="47">
        <f aca="true" t="shared" si="52" ref="O114:O125">N114-M114</f>
        <v>-697.039</v>
      </c>
      <c r="P114" s="53">
        <f>N114/M114*100</f>
        <v>2.3562075984192954</v>
      </c>
      <c r="Q114" s="53">
        <f>N114-68.14</f>
        <v>-51.32</v>
      </c>
      <c r="R114" s="129">
        <f>N114/68.14</f>
        <v>0.2468447314352803</v>
      </c>
    </row>
    <row r="115" spans="2:18" ht="31.5">
      <c r="B115" s="26" t="s">
        <v>170</v>
      </c>
      <c r="C115" s="97">
        <v>18041500</v>
      </c>
      <c r="D115" s="28">
        <v>150</v>
      </c>
      <c r="E115" s="28">
        <v>25</v>
      </c>
      <c r="F115" s="146">
        <v>4.44</v>
      </c>
      <c r="G115" s="43">
        <f t="shared" si="47"/>
        <v>-20.56</v>
      </c>
      <c r="H115" s="35">
        <f t="shared" si="50"/>
        <v>17.76</v>
      </c>
      <c r="I115" s="53">
        <f t="shared" si="48"/>
        <v>-145.56</v>
      </c>
      <c r="J115" s="53">
        <f t="shared" si="51"/>
        <v>2.96</v>
      </c>
      <c r="K115" s="53">
        <f>F115-24.53</f>
        <v>-20.09</v>
      </c>
      <c r="L115" s="53">
        <f>F115/24.53*100</f>
        <v>18.100285364859356</v>
      </c>
      <c r="M115" s="35">
        <f t="shared" si="49"/>
        <v>25</v>
      </c>
      <c r="N115" s="35">
        <f t="shared" si="49"/>
        <v>4.44</v>
      </c>
      <c r="O115" s="47">
        <f t="shared" si="52"/>
        <v>-20.56</v>
      </c>
      <c r="P115" s="53">
        <f>N115/M115*100</f>
        <v>17.76</v>
      </c>
      <c r="Q115" s="53">
        <f>N115-24.53</f>
        <v>-20.09</v>
      </c>
      <c r="R115" s="129">
        <f>N115/24.53</f>
        <v>0.18100285364859356</v>
      </c>
    </row>
    <row r="116" spans="2:18" ht="15.75">
      <c r="B116" s="32" t="s">
        <v>130</v>
      </c>
      <c r="C116" s="98"/>
      <c r="D116" s="33">
        <f>D114+D115+D113</f>
        <v>4433.157</v>
      </c>
      <c r="E116" s="33">
        <f>E114+E115+E113</f>
        <v>738.859</v>
      </c>
      <c r="F116" s="145">
        <f>SUM(F113:F115)</f>
        <v>21.26</v>
      </c>
      <c r="G116" s="55">
        <f t="shared" si="47"/>
        <v>-717.599</v>
      </c>
      <c r="H116" s="65">
        <f t="shared" si="50"/>
        <v>2.87740962754734</v>
      </c>
      <c r="I116" s="54">
        <f t="shared" si="48"/>
        <v>-4411.897</v>
      </c>
      <c r="J116" s="54">
        <f t="shared" si="51"/>
        <v>0.4795679467250991</v>
      </c>
      <c r="K116" s="54">
        <f>F116-92.85</f>
        <v>-71.58999999999999</v>
      </c>
      <c r="L116" s="54">
        <f>F116/92.85*100</f>
        <v>22.897145934302642</v>
      </c>
      <c r="M116" s="55">
        <f>M114+M115+M113</f>
        <v>738.859</v>
      </c>
      <c r="N116" s="33">
        <f>SUM(N113:N115)</f>
        <v>21.26</v>
      </c>
      <c r="O116" s="54">
        <f t="shared" si="52"/>
        <v>-717.599</v>
      </c>
      <c r="P116" s="54">
        <f>N116/M116*100</f>
        <v>2.87740962754734</v>
      </c>
      <c r="Q116" s="54">
        <f>N116-92.85</f>
        <v>-71.58999999999999</v>
      </c>
      <c r="R116" s="130">
        <f>N116/92.85</f>
        <v>0.22897145934302643</v>
      </c>
    </row>
    <row r="117" spans="2:18" ht="47.25" hidden="1">
      <c r="B117" s="26" t="s">
        <v>121</v>
      </c>
      <c r="C117" s="98">
        <v>21110000</v>
      </c>
      <c r="D117" s="28">
        <v>0</v>
      </c>
      <c r="E117" s="28"/>
      <c r="F117" s="146">
        <v>0</v>
      </c>
      <c r="G117" s="43">
        <f t="shared" si="47"/>
        <v>0</v>
      </c>
      <c r="H117" s="35" t="e">
        <f t="shared" si="50"/>
        <v>#DIV/0!</v>
      </c>
      <c r="I117" s="53">
        <f t="shared" si="48"/>
        <v>0</v>
      </c>
      <c r="J117" s="53" t="e">
        <f t="shared" si="51"/>
        <v>#DIV/0!</v>
      </c>
      <c r="K117" s="53"/>
      <c r="L117" s="53"/>
      <c r="M117" s="36">
        <v>0</v>
      </c>
      <c r="N117" s="36">
        <f aca="true" t="shared" si="53" ref="N117:N122">F117</f>
        <v>0</v>
      </c>
      <c r="O117" s="47">
        <f t="shared" si="52"/>
        <v>0</v>
      </c>
      <c r="P117" s="53" t="e">
        <f>N117/M117*100</f>
        <v>#DIV/0!</v>
      </c>
      <c r="Q117" s="53"/>
      <c r="R117" s="129"/>
    </row>
    <row r="118" spans="2:19" ht="31.5">
      <c r="B118" s="14" t="s">
        <v>157</v>
      </c>
      <c r="C118" s="99">
        <v>18010100</v>
      </c>
      <c r="D118" s="28">
        <v>0</v>
      </c>
      <c r="E118" s="28">
        <v>0</v>
      </c>
      <c r="F118" s="146">
        <v>84.67</v>
      </c>
      <c r="G118" s="43">
        <f t="shared" si="47"/>
        <v>84.67</v>
      </c>
      <c r="H118" s="35" t="e">
        <f t="shared" si="50"/>
        <v>#DIV/0!</v>
      </c>
      <c r="I118" s="53">
        <f t="shared" si="48"/>
        <v>84.67</v>
      </c>
      <c r="J118" s="53" t="e">
        <f t="shared" si="51"/>
        <v>#DIV/0!</v>
      </c>
      <c r="K118" s="53">
        <f>F118-54.32</f>
        <v>30.35</v>
      </c>
      <c r="L118" s="53">
        <f>F118/54.32*100</f>
        <v>155.87260677466864</v>
      </c>
      <c r="M118" s="35">
        <f>E118</f>
        <v>0</v>
      </c>
      <c r="N118" s="35">
        <f t="shared" si="53"/>
        <v>84.67</v>
      </c>
      <c r="O118" s="47" t="s">
        <v>166</v>
      </c>
      <c r="P118" s="53"/>
      <c r="Q118" s="53">
        <f>N118-54.32</f>
        <v>30.35</v>
      </c>
      <c r="R118" s="129"/>
      <c r="S118" s="34">
        <f>F118</f>
        <v>84.67</v>
      </c>
    </row>
    <row r="119" spans="2:19" s="42" customFormat="1" ht="15.75">
      <c r="B119" s="15" t="s">
        <v>139</v>
      </c>
      <c r="C119" s="99">
        <v>18050000</v>
      </c>
      <c r="D119" s="28">
        <v>0</v>
      </c>
      <c r="E119" s="28">
        <v>0</v>
      </c>
      <c r="F119" s="146">
        <v>8334.48</v>
      </c>
      <c r="G119" s="43">
        <f t="shared" si="47"/>
        <v>8334.48</v>
      </c>
      <c r="H119" s="35" t="e">
        <f t="shared" si="50"/>
        <v>#DIV/0!</v>
      </c>
      <c r="I119" s="47">
        <f t="shared" si="48"/>
        <v>8334.48</v>
      </c>
      <c r="J119" s="53" t="e">
        <f t="shared" si="51"/>
        <v>#DIV/0!</v>
      </c>
      <c r="K119" s="53">
        <f>F119-7479.86</f>
        <v>854.6199999999999</v>
      </c>
      <c r="L119" s="53">
        <f>F119/7479.86*100</f>
        <v>111.42561491792627</v>
      </c>
      <c r="M119" s="35">
        <f>E119</f>
        <v>0</v>
      </c>
      <c r="N119" s="35">
        <f t="shared" si="53"/>
        <v>8334.48</v>
      </c>
      <c r="O119" s="47">
        <f t="shared" si="52"/>
        <v>8334.48</v>
      </c>
      <c r="P119" s="53" t="e">
        <f aca="true" t="shared" si="54" ref="P119:P124">N119/M119*100</f>
        <v>#DIV/0!</v>
      </c>
      <c r="Q119" s="53">
        <f>N119-7479.86</f>
        <v>854.6199999999999</v>
      </c>
      <c r="R119" s="129">
        <f>N119/7479.86</f>
        <v>1.1142561491792626</v>
      </c>
      <c r="S119" s="34">
        <f>F119</f>
        <v>8334.48</v>
      </c>
    </row>
    <row r="120" spans="2:18" ht="31.5">
      <c r="B120" s="26" t="s">
        <v>111</v>
      </c>
      <c r="C120" s="97">
        <v>31030000</v>
      </c>
      <c r="D120" s="28">
        <v>0</v>
      </c>
      <c r="E120" s="28">
        <v>0</v>
      </c>
      <c r="F120" s="146">
        <v>0.03</v>
      </c>
      <c r="G120" s="43">
        <f t="shared" si="47"/>
        <v>0.03</v>
      </c>
      <c r="H120" s="35" t="e">
        <f t="shared" si="50"/>
        <v>#DIV/0!</v>
      </c>
      <c r="I120" s="53">
        <f t="shared" si="48"/>
        <v>0.03</v>
      </c>
      <c r="J120" s="53" t="e">
        <f t="shared" si="51"/>
        <v>#DIV/0!</v>
      </c>
      <c r="K120" s="53">
        <f>F120-0.04</f>
        <v>-0.010000000000000002</v>
      </c>
      <c r="L120" s="53">
        <f>F120/0.04*100</f>
        <v>75</v>
      </c>
      <c r="M120" s="35">
        <f>E120</f>
        <v>0</v>
      </c>
      <c r="N120" s="35">
        <f t="shared" si="53"/>
        <v>0.03</v>
      </c>
      <c r="O120" s="47">
        <f t="shared" si="52"/>
        <v>0.03</v>
      </c>
      <c r="P120" s="53" t="e">
        <f t="shared" si="54"/>
        <v>#DIV/0!</v>
      </c>
      <c r="Q120" s="53">
        <f>N120-0.04</f>
        <v>-0.010000000000000002</v>
      </c>
      <c r="R120" s="129">
        <f>N120/0.04</f>
        <v>0.75</v>
      </c>
    </row>
    <row r="121" spans="2:18" ht="15.75">
      <c r="B121" s="26" t="s">
        <v>112</v>
      </c>
      <c r="C121" s="97">
        <v>33010000</v>
      </c>
      <c r="D121" s="28">
        <v>0</v>
      </c>
      <c r="E121" s="28">
        <v>0</v>
      </c>
      <c r="F121" s="146">
        <v>259.69</v>
      </c>
      <c r="G121" s="43">
        <f t="shared" si="47"/>
        <v>259.69</v>
      </c>
      <c r="H121" s="35" t="e">
        <f t="shared" si="50"/>
        <v>#DIV/0!</v>
      </c>
      <c r="I121" s="53">
        <f t="shared" si="48"/>
        <v>259.69</v>
      </c>
      <c r="J121" s="53" t="e">
        <f>F121/D121*100</f>
        <v>#DIV/0!</v>
      </c>
      <c r="K121" s="53">
        <f>F121-450.01</f>
        <v>-190.32</v>
      </c>
      <c r="L121" s="53">
        <f>F121/450.01*100</f>
        <v>57.70760649763339</v>
      </c>
      <c r="M121" s="35">
        <f>E121</f>
        <v>0</v>
      </c>
      <c r="N121" s="35">
        <f t="shared" si="53"/>
        <v>259.69</v>
      </c>
      <c r="O121" s="47">
        <f t="shared" si="52"/>
        <v>259.69</v>
      </c>
      <c r="P121" s="53" t="e">
        <f t="shared" si="54"/>
        <v>#DIV/0!</v>
      </c>
      <c r="Q121" s="53">
        <f>N121-450.01</f>
        <v>-190.32</v>
      </c>
      <c r="R121" s="129">
        <f>N121/450.01</f>
        <v>0.5770760649763339</v>
      </c>
    </row>
    <row r="122" spans="2:18" ht="31.5">
      <c r="B122" s="26" t="s">
        <v>156</v>
      </c>
      <c r="C122" s="97">
        <v>24170000</v>
      </c>
      <c r="D122" s="28">
        <v>0</v>
      </c>
      <c r="E122" s="28">
        <v>0</v>
      </c>
      <c r="F122" s="146">
        <v>-16.04</v>
      </c>
      <c r="G122" s="43">
        <f t="shared" si="47"/>
        <v>-16.04</v>
      </c>
      <c r="H122" s="35" t="e">
        <f t="shared" si="50"/>
        <v>#DIV/0!</v>
      </c>
      <c r="I122" s="53">
        <f t="shared" si="48"/>
        <v>-16.04</v>
      </c>
      <c r="J122" s="53" t="e">
        <f>F122/D122*100</f>
        <v>#DIV/0!</v>
      </c>
      <c r="K122" s="53">
        <f>F122-1.05</f>
        <v>-17.09</v>
      </c>
      <c r="L122" s="53">
        <f>F122/1.05*100</f>
        <v>-1527.6190476190475</v>
      </c>
      <c r="M122" s="35">
        <f>E122</f>
        <v>0</v>
      </c>
      <c r="N122" s="35">
        <f t="shared" si="53"/>
        <v>-16.04</v>
      </c>
      <c r="O122" s="47">
        <f t="shared" si="52"/>
        <v>-16.04</v>
      </c>
      <c r="P122" s="53" t="e">
        <f t="shared" si="54"/>
        <v>#DIV/0!</v>
      </c>
      <c r="Q122" s="53">
        <f>N122-1.05</f>
        <v>-17.09</v>
      </c>
      <c r="R122" s="129">
        <f>N122/1.05</f>
        <v>-15.276190476190475</v>
      </c>
    </row>
    <row r="123" spans="2:20" ht="34.5">
      <c r="B123" s="32" t="s">
        <v>144</v>
      </c>
      <c r="C123" s="87"/>
      <c r="D123" s="33">
        <f>D119+D120+D121+D122+D118</f>
        <v>0</v>
      </c>
      <c r="E123" s="33">
        <f>E119+E120+E121+E122+E118</f>
        <v>0</v>
      </c>
      <c r="F123" s="145">
        <f>F119+F120+F121+F122+F118</f>
        <v>8662.83</v>
      </c>
      <c r="G123" s="55">
        <f t="shared" si="47"/>
        <v>8662.83</v>
      </c>
      <c r="H123" s="65" t="e">
        <f t="shared" si="50"/>
        <v>#DIV/0!</v>
      </c>
      <c r="I123" s="54">
        <f t="shared" si="48"/>
        <v>8662.83</v>
      </c>
      <c r="J123" s="54" t="e">
        <f>F123/D123*100</f>
        <v>#DIV/0!</v>
      </c>
      <c r="K123" s="54">
        <f>F123-7985.28</f>
        <v>677.5500000000002</v>
      </c>
      <c r="L123" s="54">
        <f>F123/7985.28*100</f>
        <v>108.48498737677326</v>
      </c>
      <c r="M123" s="55">
        <f>M119+M120+M121+M122+M118</f>
        <v>0</v>
      </c>
      <c r="N123" s="55">
        <f>N119+N120+N121+N122+N118</f>
        <v>8662.83</v>
      </c>
      <c r="O123" s="54">
        <f t="shared" si="52"/>
        <v>8662.83</v>
      </c>
      <c r="P123" s="54" t="e">
        <f t="shared" si="54"/>
        <v>#DIV/0!</v>
      </c>
      <c r="Q123" s="54">
        <f>N123-7985.28</f>
        <v>677.5500000000002</v>
      </c>
      <c r="R123" s="130">
        <f>N123/7985.28</f>
        <v>1.0848498737677326</v>
      </c>
      <c r="S123" s="159">
        <f>S118+S119</f>
        <v>8419.15</v>
      </c>
      <c r="T123" s="4" t="s">
        <v>197</v>
      </c>
    </row>
    <row r="124" spans="2:18" ht="47.25">
      <c r="B124" s="14" t="s">
        <v>124</v>
      </c>
      <c r="C124" s="100">
        <v>24062100</v>
      </c>
      <c r="D124" s="28">
        <v>0</v>
      </c>
      <c r="E124" s="28">
        <v>0</v>
      </c>
      <c r="F124" s="146">
        <v>0</v>
      </c>
      <c r="G124" s="43">
        <f t="shared" si="47"/>
        <v>0</v>
      </c>
      <c r="H124" s="35" t="e">
        <f t="shared" si="50"/>
        <v>#DIV/0!</v>
      </c>
      <c r="I124" s="53">
        <f t="shared" si="48"/>
        <v>0</v>
      </c>
      <c r="J124" s="53" t="e">
        <f>F124/D124*100</f>
        <v>#DIV/0!</v>
      </c>
      <c r="K124" s="53">
        <f>F124-0.16</f>
        <v>-0.16</v>
      </c>
      <c r="L124" s="53">
        <f>F124/0.16*100</f>
        <v>0</v>
      </c>
      <c r="M124" s="35">
        <f aca="true" t="shared" si="55" ref="M124:N128">E124</f>
        <v>0</v>
      </c>
      <c r="N124" s="35">
        <f t="shared" si="55"/>
        <v>0</v>
      </c>
      <c r="O124" s="47">
        <f t="shared" si="52"/>
        <v>0</v>
      </c>
      <c r="P124" s="53" t="e">
        <f t="shared" si="54"/>
        <v>#DIV/0!</v>
      </c>
      <c r="Q124" s="53">
        <f>N124-0.16</f>
        <v>-0.16</v>
      </c>
      <c r="R124" s="129">
        <f>N124/0.16</f>
        <v>0</v>
      </c>
    </row>
    <row r="125" spans="2:18" ht="15.75" hidden="1">
      <c r="B125" s="37"/>
      <c r="C125" s="100">
        <v>24062100</v>
      </c>
      <c r="D125" s="28">
        <v>0</v>
      </c>
      <c r="E125" s="28">
        <v>0</v>
      </c>
      <c r="F125" s="146">
        <v>0</v>
      </c>
      <c r="G125" s="43">
        <f t="shared" si="47"/>
        <v>0</v>
      </c>
      <c r="H125" s="35" t="e">
        <f t="shared" si="50"/>
        <v>#DIV/0!</v>
      </c>
      <c r="I125" s="56"/>
      <c r="J125" s="56"/>
      <c r="K125" s="56"/>
      <c r="L125" s="53">
        <f>F125</f>
        <v>0</v>
      </c>
      <c r="M125" s="35">
        <f t="shared" si="55"/>
        <v>0</v>
      </c>
      <c r="N125" s="35">
        <f t="shared" si="55"/>
        <v>0</v>
      </c>
      <c r="O125" s="47">
        <f t="shared" si="52"/>
        <v>0</v>
      </c>
      <c r="P125" s="56"/>
      <c r="Q125" s="56"/>
      <c r="R125" s="131"/>
    </row>
    <row r="126" spans="2:18" ht="15.75">
      <c r="B126" s="26" t="s">
        <v>146</v>
      </c>
      <c r="C126" s="97">
        <v>24061600</v>
      </c>
      <c r="D126" s="28">
        <v>0</v>
      </c>
      <c r="E126" s="28">
        <v>0</v>
      </c>
      <c r="F126" s="146">
        <v>0</v>
      </c>
      <c r="G126" s="43"/>
      <c r="H126" s="35"/>
      <c r="I126" s="56"/>
      <c r="J126" s="56"/>
      <c r="K126" s="47">
        <f>F126-8.76</f>
        <v>-8.76</v>
      </c>
      <c r="L126" s="53">
        <f>F126/8.76*100</f>
        <v>0</v>
      </c>
      <c r="M126" s="35">
        <f t="shared" si="55"/>
        <v>0</v>
      </c>
      <c r="N126" s="35">
        <f t="shared" si="55"/>
        <v>0</v>
      </c>
      <c r="O126" s="47"/>
      <c r="P126" s="56"/>
      <c r="Q126" s="56">
        <f>N126-8.76</f>
        <v>-8.76</v>
      </c>
      <c r="R126" s="131">
        <f>N126/8.76</f>
        <v>0</v>
      </c>
    </row>
    <row r="127" spans="2:20" ht="15.75">
      <c r="B127" s="26" t="s">
        <v>132</v>
      </c>
      <c r="C127" s="97">
        <v>19010000</v>
      </c>
      <c r="D127" s="28">
        <v>8588.509</v>
      </c>
      <c r="E127" s="28">
        <v>1431.418</v>
      </c>
      <c r="F127" s="146">
        <v>9.99</v>
      </c>
      <c r="G127" s="43">
        <f aca="true" t="shared" si="56" ref="G127:G134">F127-E127</f>
        <v>-1421.4279999999999</v>
      </c>
      <c r="H127" s="35">
        <f>F127/E127*100</f>
        <v>0.6979093458374843</v>
      </c>
      <c r="I127" s="53">
        <f aca="true" t="shared" si="57" ref="I127:I134">F127-D127</f>
        <v>-8578.519</v>
      </c>
      <c r="J127" s="53">
        <f>F127/D127*100</f>
        <v>0.11631821076277618</v>
      </c>
      <c r="K127" s="53">
        <f>F127-17.67</f>
        <v>-7.6800000000000015</v>
      </c>
      <c r="L127" s="53">
        <f>F127/84.2*100</f>
        <v>11.864608076009501</v>
      </c>
      <c r="M127" s="35">
        <f t="shared" si="55"/>
        <v>1431.418</v>
      </c>
      <c r="N127" s="35">
        <f t="shared" si="55"/>
        <v>9.99</v>
      </c>
      <c r="O127" s="47">
        <f aca="true" t="shared" si="58" ref="O127:O134">N127-M127</f>
        <v>-1421.4279999999999</v>
      </c>
      <c r="P127" s="53">
        <f>N127/M127*100</f>
        <v>0.6979093458374843</v>
      </c>
      <c r="Q127" s="53">
        <f>N127-17.67</f>
        <v>-7.6800000000000015</v>
      </c>
      <c r="R127" s="129">
        <f>N127/17.67</f>
        <v>0.565365025466893</v>
      </c>
      <c r="S127" s="159">
        <f>F127</f>
        <v>9.99</v>
      </c>
      <c r="T127" s="4" t="s">
        <v>197</v>
      </c>
    </row>
    <row r="128" spans="2:18" ht="31.5">
      <c r="B128" s="26" t="s">
        <v>140</v>
      </c>
      <c r="C128" s="97">
        <v>19050000</v>
      </c>
      <c r="D128" s="28">
        <v>0</v>
      </c>
      <c r="E128" s="28">
        <v>0</v>
      </c>
      <c r="F128" s="146">
        <v>0.17</v>
      </c>
      <c r="G128" s="43">
        <f t="shared" si="56"/>
        <v>0.17</v>
      </c>
      <c r="H128" s="35"/>
      <c r="I128" s="53">
        <f t="shared" si="57"/>
        <v>0.17</v>
      </c>
      <c r="J128" s="53"/>
      <c r="K128" s="53">
        <f>F128-(-0.21)</f>
        <v>0.38</v>
      </c>
      <c r="L128" s="53"/>
      <c r="M128" s="35">
        <f t="shared" si="55"/>
        <v>0</v>
      </c>
      <c r="N128" s="35">
        <f t="shared" si="55"/>
        <v>0.17</v>
      </c>
      <c r="O128" s="47">
        <f t="shared" si="58"/>
        <v>0.17</v>
      </c>
      <c r="P128" s="53"/>
      <c r="Q128" s="53">
        <f>N128-(-0.21)</f>
        <v>0.38</v>
      </c>
      <c r="R128" s="129"/>
    </row>
    <row r="129" spans="2:18" ht="31.5">
      <c r="B129" s="32" t="s">
        <v>134</v>
      </c>
      <c r="C129" s="97"/>
      <c r="D129" s="33">
        <f>D127+D124+D128+D126</f>
        <v>8588.509</v>
      </c>
      <c r="E129" s="33">
        <f>E127+E124+E128+E126</f>
        <v>1431.418</v>
      </c>
      <c r="F129" s="145">
        <f>F127+F124+F128+F126</f>
        <v>10.16</v>
      </c>
      <c r="G129" s="55">
        <f t="shared" si="56"/>
        <v>-1421.2579999999998</v>
      </c>
      <c r="H129" s="65">
        <f>F129/E129*100</f>
        <v>0.709785681051936</v>
      </c>
      <c r="I129" s="54">
        <f t="shared" si="57"/>
        <v>-8578.349</v>
      </c>
      <c r="J129" s="54">
        <f>F129/D129*100</f>
        <v>0.11829759973471529</v>
      </c>
      <c r="K129" s="54">
        <f>F129-26.38</f>
        <v>-16.22</v>
      </c>
      <c r="L129" s="54">
        <f>F129/26.38*100</f>
        <v>38.51402577710387</v>
      </c>
      <c r="M129" s="55">
        <f>M124+M127+M128+M126</f>
        <v>1431.418</v>
      </c>
      <c r="N129" s="55">
        <f>N124+N127+N128+N126</f>
        <v>10.16</v>
      </c>
      <c r="O129" s="54">
        <f t="shared" si="58"/>
        <v>-1421.2579999999998</v>
      </c>
      <c r="P129" s="54">
        <f>N129/M129*100</f>
        <v>0.709785681051936</v>
      </c>
      <c r="Q129" s="54">
        <f>N129-26.38</f>
        <v>-16.22</v>
      </c>
      <c r="R129" s="128">
        <f>N129/26.38</f>
        <v>0.38514025777103866</v>
      </c>
    </row>
    <row r="130" spans="2:18" ht="31.5">
      <c r="B130" s="14" t="s">
        <v>125</v>
      </c>
      <c r="C130" s="59">
        <v>24110900</v>
      </c>
      <c r="D130" s="28">
        <v>0</v>
      </c>
      <c r="E130" s="28">
        <v>0</v>
      </c>
      <c r="F130" s="146">
        <v>0.59</v>
      </c>
      <c r="G130" s="43">
        <f>F130-E130</f>
        <v>0.59</v>
      </c>
      <c r="H130" s="35" t="e">
        <f>F130/E130*100</f>
        <v>#DIV/0!</v>
      </c>
      <c r="I130" s="53">
        <f>F130-D130</f>
        <v>0.59</v>
      </c>
      <c r="J130" s="53" t="e">
        <f>F130/D130*100</f>
        <v>#DIV/0!</v>
      </c>
      <c r="K130" s="53">
        <f>F130-0.45</f>
        <v>0.13999999999999996</v>
      </c>
      <c r="L130" s="53">
        <f>F130/0.45*100</f>
        <v>131.11111111111111</v>
      </c>
      <c r="M130" s="35">
        <f aca="true" t="shared" si="59" ref="M130:N132">E130</f>
        <v>0</v>
      </c>
      <c r="N130" s="35">
        <f t="shared" si="59"/>
        <v>0.59</v>
      </c>
      <c r="O130" s="47">
        <f>N130-M130</f>
        <v>0.59</v>
      </c>
      <c r="P130" s="53" t="e">
        <f>N130/M130*100</f>
        <v>#DIV/0!</v>
      </c>
      <c r="Q130" s="53">
        <f>N130-0.45</f>
        <v>0.13999999999999996</v>
      </c>
      <c r="R130" s="129">
        <f>N130/0.45</f>
        <v>1.3111111111111111</v>
      </c>
    </row>
    <row r="131" spans="2:18" ht="47.25">
      <c r="B131" s="26" t="s">
        <v>121</v>
      </c>
      <c r="C131" s="97">
        <v>21110000</v>
      </c>
      <c r="D131" s="28">
        <v>0</v>
      </c>
      <c r="E131" s="28">
        <v>0</v>
      </c>
      <c r="F131" s="146">
        <v>0</v>
      </c>
      <c r="G131" s="43"/>
      <c r="H131" s="35"/>
      <c r="I131" s="53"/>
      <c r="J131" s="53"/>
      <c r="K131" s="53"/>
      <c r="L131" s="53"/>
      <c r="M131" s="35">
        <f t="shared" si="59"/>
        <v>0</v>
      </c>
      <c r="N131" s="35">
        <f t="shared" si="59"/>
        <v>0</v>
      </c>
      <c r="O131" s="47"/>
      <c r="P131" s="53"/>
      <c r="Q131" s="53">
        <f>N131-0</f>
        <v>0</v>
      </c>
      <c r="R131" s="129"/>
    </row>
    <row r="132" spans="2:18" ht="31.5">
      <c r="B132" s="26" t="s">
        <v>113</v>
      </c>
      <c r="C132" s="97">
        <v>50110000</v>
      </c>
      <c r="D132" s="28">
        <v>0</v>
      </c>
      <c r="E132" s="28">
        <v>0</v>
      </c>
      <c r="F132" s="146">
        <v>0</v>
      </c>
      <c r="G132" s="43">
        <f t="shared" si="56"/>
        <v>0</v>
      </c>
      <c r="H132" s="35" t="e">
        <f>F132/E132*100</f>
        <v>#DIV/0!</v>
      </c>
      <c r="I132" s="53">
        <f t="shared" si="57"/>
        <v>0</v>
      </c>
      <c r="J132" s="53" t="e">
        <f>F132/D132*100</f>
        <v>#DIV/0!</v>
      </c>
      <c r="K132" s="53"/>
      <c r="L132" s="53"/>
      <c r="M132" s="35">
        <f t="shared" si="59"/>
        <v>0</v>
      </c>
      <c r="N132" s="35">
        <f t="shared" si="59"/>
        <v>0</v>
      </c>
      <c r="O132" s="47">
        <f t="shared" si="58"/>
        <v>0</v>
      </c>
      <c r="P132" s="53"/>
      <c r="Q132" s="53">
        <f>N132-(-60.1)</f>
        <v>60.1</v>
      </c>
      <c r="R132" s="129"/>
    </row>
    <row r="133" spans="2:18" ht="23.25" customHeight="1">
      <c r="B133" s="17" t="s">
        <v>114</v>
      </c>
      <c r="C133" s="88"/>
      <c r="D133" s="27">
        <f>D116+D130+D123+D129+D132+D131</f>
        <v>13021.666000000001</v>
      </c>
      <c r="E133" s="27">
        <f>E116+E130+E123+E129+E132+E131</f>
        <v>2170.277</v>
      </c>
      <c r="F133" s="148">
        <f>F116+F130+F123+F129+F132+F131</f>
        <v>8694.84</v>
      </c>
      <c r="G133" s="44">
        <f t="shared" si="56"/>
        <v>6524.563</v>
      </c>
      <c r="H133" s="45">
        <f>F133/E133*100</f>
        <v>400.63273029203185</v>
      </c>
      <c r="I133" s="31">
        <f t="shared" si="57"/>
        <v>-4326.826000000001</v>
      </c>
      <c r="J133" s="31">
        <f>F133/D133*100</f>
        <v>66.77210120425451</v>
      </c>
      <c r="K133" s="31">
        <f>F133-8104.96</f>
        <v>589.8800000000001</v>
      </c>
      <c r="L133" s="31">
        <f>F133/8104.96*100</f>
        <v>107.2780124763108</v>
      </c>
      <c r="M133" s="27">
        <f>M116+M130+M123+M129+M132+M131</f>
        <v>2170.277</v>
      </c>
      <c r="N133" s="27">
        <f>N116+N130+N123+N129+N132+N131</f>
        <v>8694.84</v>
      </c>
      <c r="O133" s="31">
        <f t="shared" si="58"/>
        <v>6524.563</v>
      </c>
      <c r="P133" s="31">
        <f>N133/M133*100</f>
        <v>400.63273029203185</v>
      </c>
      <c r="Q133" s="31">
        <f>N133-8104.96</f>
        <v>589.8800000000001</v>
      </c>
      <c r="R133" s="127">
        <f>N133/8104.96</f>
        <v>1.0727801247631081</v>
      </c>
    </row>
    <row r="134" spans="2:18" ht="18.75">
      <c r="B134" s="24" t="s">
        <v>115</v>
      </c>
      <c r="C134" s="88"/>
      <c r="D134" s="27">
        <f>D106+D133</f>
        <v>209435.366</v>
      </c>
      <c r="E134" s="27">
        <f>E106+E133</f>
        <v>21941.227</v>
      </c>
      <c r="F134" s="148">
        <f>F106+F133</f>
        <v>44807.76000000001</v>
      </c>
      <c r="G134" s="44">
        <f t="shared" si="56"/>
        <v>22866.53300000001</v>
      </c>
      <c r="H134" s="45">
        <f>F134/E134*100</f>
        <v>204.21720262043692</v>
      </c>
      <c r="I134" s="31">
        <f t="shared" si="57"/>
        <v>-164627.606</v>
      </c>
      <c r="J134" s="31">
        <f>F134/D134*100</f>
        <v>21.394552818744092</v>
      </c>
      <c r="K134" s="31">
        <f>F134-42872.96</f>
        <v>1934.8000000000102</v>
      </c>
      <c r="L134" s="31">
        <f>F134/42872.96*100</f>
        <v>104.51286778426312</v>
      </c>
      <c r="M134" s="18">
        <f>M106+M133</f>
        <v>21941.227</v>
      </c>
      <c r="N134" s="18">
        <f>N106+N133</f>
        <v>44807.76000000001</v>
      </c>
      <c r="O134" s="31">
        <f t="shared" si="58"/>
        <v>22866.53300000001</v>
      </c>
      <c r="P134" s="31">
        <f>N134/M134*100</f>
        <v>204.21720262043692</v>
      </c>
      <c r="Q134" s="31">
        <f>N134-42872.96</f>
        <v>1934.8000000000102</v>
      </c>
      <c r="R134" s="127">
        <f>N134/42872.96</f>
        <v>1.0451286778426312</v>
      </c>
    </row>
    <row r="135" spans="2:14" ht="15.75">
      <c r="B135" s="23" t="s">
        <v>117</v>
      </c>
      <c r="N135" s="29"/>
    </row>
    <row r="136" spans="2:4" ht="15.75">
      <c r="B136" s="4" t="s">
        <v>119</v>
      </c>
      <c r="C136" s="101">
        <v>0</v>
      </c>
      <c r="D136" s="4" t="s">
        <v>118</v>
      </c>
    </row>
    <row r="137" spans="2:17" ht="31.5">
      <c r="B137" s="71" t="s">
        <v>154</v>
      </c>
      <c r="C137" s="34">
        <f>IF(O106&lt;0,ABS(O106/C136),0)</f>
        <v>0</v>
      </c>
      <c r="D137" s="4" t="s">
        <v>104</v>
      </c>
      <c r="G137" s="207"/>
      <c r="H137" s="207"/>
      <c r="I137" s="207"/>
      <c r="J137" s="207"/>
      <c r="K137" s="115"/>
      <c r="L137" s="115"/>
      <c r="P137" s="29"/>
      <c r="Q137" s="29"/>
    </row>
    <row r="138" spans="2:15" ht="34.5" customHeight="1">
      <c r="B138" s="72" t="s">
        <v>159</v>
      </c>
      <c r="C138" s="111">
        <v>42034</v>
      </c>
      <c r="D138" s="34">
        <v>5538.3</v>
      </c>
      <c r="N138" s="208"/>
      <c r="O138" s="208"/>
    </row>
    <row r="139" spans="3:15" ht="15.75">
      <c r="C139" s="111">
        <v>42033</v>
      </c>
      <c r="D139" s="34">
        <v>2896.5</v>
      </c>
      <c r="F139" s="155" t="s">
        <v>166</v>
      </c>
      <c r="G139" s="214" t="s">
        <v>151</v>
      </c>
      <c r="H139" s="214"/>
      <c r="I139" s="106">
        <f>8909.733</f>
        <v>8909.733</v>
      </c>
      <c r="J139" s="226" t="s">
        <v>161</v>
      </c>
      <c r="K139" s="226"/>
      <c r="L139" s="226"/>
      <c r="M139" s="226"/>
      <c r="N139" s="208"/>
      <c r="O139" s="208"/>
    </row>
    <row r="140" spans="3:15" ht="15.75">
      <c r="C140" s="111">
        <v>42032</v>
      </c>
      <c r="D140" s="34">
        <v>2838.1</v>
      </c>
      <c r="G140" s="216" t="s">
        <v>155</v>
      </c>
      <c r="H140" s="216"/>
      <c r="I140" s="103">
        <v>0</v>
      </c>
      <c r="J140" s="229" t="s">
        <v>162</v>
      </c>
      <c r="K140" s="229"/>
      <c r="L140" s="229"/>
      <c r="M140" s="229"/>
      <c r="N140" s="208"/>
      <c r="O140" s="208"/>
    </row>
    <row r="141" spans="7:13" ht="15.75" customHeight="1">
      <c r="G141" s="214" t="s">
        <v>148</v>
      </c>
      <c r="H141" s="214"/>
      <c r="I141" s="103">
        <v>0</v>
      </c>
      <c r="J141" s="226" t="s">
        <v>163</v>
      </c>
      <c r="K141" s="226"/>
      <c r="L141" s="226"/>
      <c r="M141" s="226"/>
    </row>
    <row r="142" spans="2:13" ht="18.75" customHeight="1">
      <c r="B142" s="217" t="s">
        <v>160</v>
      </c>
      <c r="C142" s="218"/>
      <c r="D142" s="108">
        <f>132375.63</f>
        <v>132375.63</v>
      </c>
      <c r="E142" s="73"/>
      <c r="F142" s="156" t="s">
        <v>147</v>
      </c>
      <c r="G142" s="214" t="s">
        <v>149</v>
      </c>
      <c r="H142" s="214"/>
      <c r="I142" s="107">
        <f>123465.893</f>
        <v>123465.893</v>
      </c>
      <c r="J142" s="226" t="s">
        <v>164</v>
      </c>
      <c r="K142" s="226"/>
      <c r="L142" s="226"/>
      <c r="M142" s="226"/>
    </row>
    <row r="143" spans="7:12" ht="9.75" customHeight="1">
      <c r="G143" s="209"/>
      <c r="H143" s="209"/>
      <c r="I143" s="90"/>
      <c r="J143" s="91"/>
      <c r="K143" s="91"/>
      <c r="L143" s="91"/>
    </row>
    <row r="144" spans="2:12" ht="22.5" customHeight="1" hidden="1">
      <c r="B144" s="219" t="s">
        <v>167</v>
      </c>
      <c r="C144" s="220"/>
      <c r="D144" s="110">
        <v>0</v>
      </c>
      <c r="E144" s="70" t="s">
        <v>104</v>
      </c>
      <c r="G144" s="209"/>
      <c r="H144" s="209"/>
      <c r="I144" s="90"/>
      <c r="J144" s="91"/>
      <c r="K144" s="91"/>
      <c r="L144" s="91"/>
    </row>
    <row r="145" spans="4:15" ht="15.75">
      <c r="D145" s="105"/>
      <c r="N145" s="209"/>
      <c r="O145" s="209"/>
    </row>
    <row r="146" spans="4:15" ht="15.75">
      <c r="D146" s="104"/>
      <c r="I146" s="34"/>
      <c r="N146" s="221"/>
      <c r="O146" s="221"/>
    </row>
    <row r="147" spans="14:15" ht="15.75">
      <c r="N147" s="209"/>
      <c r="O147" s="209"/>
    </row>
  </sheetData>
  <mergeCells count="39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</mergeCells>
  <printOptions/>
  <pageMargins left="0.21" right="0.2" top="0.27" bottom="0.36" header="0.18" footer="0.29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2015-02-16T08:32:33Z</cp:lastPrinted>
  <dcterms:created xsi:type="dcterms:W3CDTF">2003-07-28T11:27:56Z</dcterms:created>
  <dcterms:modified xsi:type="dcterms:W3CDTF">2015-02-17T13:56:33Z</dcterms:modified>
  <cp:category/>
  <cp:version/>
  <cp:contentType/>
  <cp:contentStatus/>
</cp:coreProperties>
</file>